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8389E77-7640-9E18-AD5C-E98E2F4A8B8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6 junho\"/>
    </mc:Choice>
  </mc:AlternateContent>
  <xr:revisionPtr revIDLastSave="0" documentId="13_ncr:1_{FC119C68-86B4-4355-9128-933EB39332C6}" xr6:coauthVersionLast="47" xr6:coauthVersionMax="47" xr10:uidLastSave="{00000000-0000-0000-0000-000000000000}"/>
  <bookViews>
    <workbookView xWindow="-108" yWindow="-108" windowWidth="23256" windowHeight="12456" tabRatio="822" xr2:uid="{83D4A4F0-59AC-45D6-BDA2-9A1B100CD857}"/>
  </bookViews>
  <sheets>
    <sheet name="RESUMO" sheetId="105" r:id="rId1"/>
    <sheet name="Produção" sheetId="92" r:id="rId2"/>
    <sheet name="Oper. Extras Estandes - ND" sheetId="100" r:id="rId3"/>
    <sheet name="Opções de Estande - ND" sheetId="93" r:id="rId4"/>
    <sheet name="EXTRAS 1" sheetId="101" r:id="rId5"/>
    <sheet name="EXTRAS 2" sheetId="95" r:id="rId6"/>
    <sheet name="Extra DPA" sheetId="104" r:id="rId7"/>
    <sheet name="CUSTOS OP." sheetId="106" r:id="rId8"/>
    <sheet name="TOTAL" sheetId="96" r:id="rId9"/>
    <sheet name="ItensOrc" sheetId="76" state="hidden" r:id="rId10"/>
    <sheet name="Template SP" sheetId="3" state="hidden" r:id="rId11"/>
  </sheets>
  <definedNames>
    <definedName name="_xlnm._FilterDatabase" localSheetId="7" hidden="1">'CUSTOS OP.'!$F$3:$G$3</definedName>
    <definedName name="_xlnm._FilterDatabase" localSheetId="6" hidden="1">'Extra DPA'!$A$1:$AL$14</definedName>
    <definedName name="_xlnm._FilterDatabase" localSheetId="4" hidden="1">'EXTRAS 1'!$A$1:$AL$14</definedName>
    <definedName name="_xlnm._FilterDatabase" localSheetId="5" hidden="1">'EXTRAS 2'!$A$1:$AL$14</definedName>
    <definedName name="_xlnm._FilterDatabase" localSheetId="3" hidden="1">'Opções de Estande - ND'!$A$1:$AL$14</definedName>
    <definedName name="_xlnm._FilterDatabase" localSheetId="2" hidden="1">'Oper. Extras Estandes - ND'!$A$17:$AP$17</definedName>
    <definedName name="_xlnm._FilterDatabase" localSheetId="1" hidden="1">Produção!$A$17:$AP$78</definedName>
    <definedName name="_xlnm._FilterDatabase" localSheetId="8" hidden="1">TOTAL!#REF!</definedName>
    <definedName name="_xleta.AND" hidden="1" xlm="1">#NAME?</definedName>
    <definedName name="_xleta.IF" hidden="1" xlm="1">#NAME?</definedName>
    <definedName name="_xleta.N" hidden="1" xlm="1">#NAME?</definedName>
    <definedName name="_xleta.SUM" hidden="1" xlm="1">#NAME?</definedName>
    <definedName name="_xleta.T" hidden="1" xlm="1">#NAME?</definedName>
    <definedName name="itensorc_desconto" localSheetId="9">ItensOrc!$M:$M</definedName>
    <definedName name="itensorc_desconto">#REF!</definedName>
    <definedName name="itensorc_descricao" localSheetId="9">ItensOrc!$D:$D</definedName>
    <definedName name="itensorc_descricao">#REF!</definedName>
    <definedName name="itensorc_encargos" localSheetId="9">ItensOrc!$N:$N</definedName>
    <definedName name="itensorc_encargos">#REF!</definedName>
    <definedName name="itensorc_especifica" localSheetId="9">ItensOrc!$O:$O</definedName>
    <definedName name="itensorc_especifica">#REF!</definedName>
    <definedName name="itensorc_item" localSheetId="9">ItensOrc!$C:$C</definedName>
    <definedName name="itensorc_item">#REF!</definedName>
    <definedName name="itensorc_lancamento" localSheetId="9">ItensOrc!$B:$B</definedName>
    <definedName name="itensorc_lancamento">#REF!</definedName>
    <definedName name="itensorc_percentualhonorarios" localSheetId="9">ItensOrc!$L:$L</definedName>
    <definedName name="itensorc_percentualhonorarios">#REF!</definedName>
    <definedName name="itensorc_quantidade" localSheetId="9">ItensOrc!$E:$E</definedName>
    <definedName name="itensorc_quantidade">#REF!</definedName>
    <definedName name="itensorc_situacao" localSheetId="9">ItensOrc!$H:$H</definedName>
    <definedName name="itensorc_situacao">#REF!</definedName>
    <definedName name="itensorc_subtipo" localSheetId="9">ItensOrc!$K:$K</definedName>
    <definedName name="itensorc_subtipo">#REF!</definedName>
    <definedName name="itensorc_tiporeceita" localSheetId="9">ItensOrc!$A:$A</definedName>
    <definedName name="itensorc_tiporeceita">#REF!</definedName>
    <definedName name="itensorc_valor" localSheetId="9">ItensOrc!$G:$G</definedName>
    <definedName name="itensorc_valor">#REF!</definedName>
    <definedName name="itensorc_valorfornecedor" localSheetId="9">ItensOrc!$I:$I</definedName>
    <definedName name="itensorc_valorfornecedor">#REF!</definedName>
    <definedName name="itensorc_valorfornecedorunitario" localSheetId="9">ItensOrc!$J:$J</definedName>
    <definedName name="itensorc_valorfornecedorunitario">#REF!</definedName>
    <definedName name="itensorc_valorunitario" localSheetId="9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0" i="105" l="1"/>
  <c r="D39" i="105"/>
  <c r="D38" i="105"/>
  <c r="D37" i="105"/>
  <c r="D36" i="105"/>
  <c r="AO25" i="104"/>
  <c r="AO26" i="104" s="1"/>
  <c r="AO24" i="104"/>
  <c r="AO58" i="95"/>
  <c r="AO59" i="95" s="1"/>
  <c r="AO57" i="95"/>
  <c r="AO30" i="101"/>
  <c r="AO31" i="101" s="1"/>
  <c r="AO29" i="101"/>
  <c r="AB53" i="93"/>
  <c r="AB52" i="93"/>
  <c r="AB51" i="93"/>
  <c r="AO32" i="100"/>
  <c r="AO33" i="100" s="1"/>
  <c r="AO31" i="100"/>
  <c r="AO84" i="92"/>
  <c r="AO83" i="92"/>
  <c r="AO82" i="92"/>
  <c r="D41" i="105" l="1"/>
  <c r="E41" i="105" s="1"/>
  <c r="C41" i="105"/>
  <c r="E28" i="105"/>
  <c r="E27" i="105"/>
  <c r="E26" i="105"/>
  <c r="D28" i="105"/>
  <c r="C28" i="105"/>
  <c r="C23" i="105"/>
  <c r="E37" i="105"/>
  <c r="F37" i="105" s="1"/>
  <c r="E38" i="105"/>
  <c r="F38" i="105" s="1"/>
  <c r="E39" i="105"/>
  <c r="F39" i="105" s="1"/>
  <c r="E40" i="105"/>
  <c r="F40" i="105" s="1"/>
  <c r="E36" i="105"/>
  <c r="F36" i="105" s="1"/>
  <c r="AC17" i="93"/>
  <c r="AN35" i="95" l="1"/>
  <c r="AN36" i="95"/>
  <c r="AN37" i="95"/>
  <c r="AN38" i="95"/>
  <c r="AN39" i="95"/>
  <c r="AN40" i="95"/>
  <c r="AN41" i="95"/>
  <c r="AN42" i="95"/>
  <c r="AN43" i="95"/>
  <c r="AN46" i="95"/>
  <c r="AN47" i="95"/>
  <c r="AN48" i="95"/>
  <c r="AN49" i="95"/>
  <c r="AN50" i="95"/>
  <c r="AN51" i="95"/>
  <c r="AO20" i="101"/>
  <c r="AO20" i="92"/>
  <c r="AO40" i="92"/>
  <c r="AO19" i="101"/>
  <c r="AO21" i="92"/>
  <c r="AO25" i="95"/>
  <c r="AO17" i="95"/>
  <c r="AO75" i="92"/>
  <c r="G34" i="106"/>
  <c r="AO76" i="92" s="1"/>
  <c r="AO78" i="92" s="1"/>
  <c r="C27" i="105"/>
  <c r="C26" i="105"/>
  <c r="C25" i="105"/>
  <c r="E3" i="105"/>
  <c r="AO20" i="104" l="1"/>
  <c r="AO53" i="95"/>
  <c r="AN21" i="95"/>
  <c r="AN17" i="95"/>
  <c r="AO27" i="100"/>
  <c r="AO25" i="101"/>
  <c r="AN18" i="101"/>
  <c r="AN19" i="101"/>
  <c r="AN22" i="101"/>
  <c r="J49" i="93"/>
  <c r="J50" i="93" s="1"/>
  <c r="L17" i="101"/>
  <c r="T25" i="101"/>
  <c r="L25" i="101"/>
  <c r="K25" i="101"/>
  <c r="T24" i="101"/>
  <c r="L24" i="101"/>
  <c r="K24" i="101"/>
  <c r="C18" i="96"/>
  <c r="K37" i="93"/>
  <c r="K43" i="93" s="1"/>
  <c r="N38" i="93"/>
  <c r="N24" i="93"/>
  <c r="J51" i="95"/>
  <c r="J50" i="95"/>
  <c r="J49" i="95"/>
  <c r="S76" i="92"/>
  <c r="S17" i="93"/>
  <c r="J32" i="95"/>
  <c r="K32" i="95" s="1"/>
  <c r="J31" i="95"/>
  <c r="K31" i="95" s="1"/>
  <c r="J28" i="95"/>
  <c r="Q32" i="95"/>
  <c r="Q31" i="95"/>
  <c r="J43" i="95"/>
  <c r="K43" i="95" s="1"/>
  <c r="L43" i="95" s="1"/>
  <c r="K51" i="95"/>
  <c r="L51" i="95" s="1"/>
  <c r="Q50" i="95"/>
  <c r="K50" i="95"/>
  <c r="S42" i="95"/>
  <c r="J42" i="95" s="1"/>
  <c r="K42" i="95" s="1"/>
  <c r="L42" i="95" s="1"/>
  <c r="K46" i="95"/>
  <c r="Q49" i="95"/>
  <c r="K49" i="95"/>
  <c r="Q46" i="95"/>
  <c r="K47" i="95"/>
  <c r="L47" i="95" s="1"/>
  <c r="K48" i="95"/>
  <c r="L48" i="95" s="1"/>
  <c r="K45" i="95"/>
  <c r="L45" i="95" s="1"/>
  <c r="K44" i="95"/>
  <c r="L44" i="95" s="1"/>
  <c r="R41" i="95"/>
  <c r="Q41" i="95"/>
  <c r="K41" i="95"/>
  <c r="Q28" i="95"/>
  <c r="K28" i="95"/>
  <c r="R27" i="95"/>
  <c r="Q27" i="95"/>
  <c r="K27" i="95"/>
  <c r="R30" i="95"/>
  <c r="Q30" i="95"/>
  <c r="K30" i="95"/>
  <c r="R29" i="95"/>
  <c r="Q29" i="95"/>
  <c r="K29" i="95"/>
  <c r="R26" i="95"/>
  <c r="Q26" i="95"/>
  <c r="K26" i="95"/>
  <c r="T38" i="95"/>
  <c r="Q48" i="95"/>
  <c r="Q47" i="95"/>
  <c r="V18" i="104"/>
  <c r="K18" i="104"/>
  <c r="R35" i="95"/>
  <c r="Q35" i="95"/>
  <c r="K35" i="95"/>
  <c r="L35" i="95" s="1"/>
  <c r="R37" i="95"/>
  <c r="Q37" i="95"/>
  <c r="K37" i="95"/>
  <c r="L37" i="95" s="1"/>
  <c r="R53" i="92"/>
  <c r="Q53" i="92"/>
  <c r="K53" i="92"/>
  <c r="R36" i="95"/>
  <c r="Q36" i="95"/>
  <c r="K36" i="95"/>
  <c r="L36" i="95" s="1"/>
  <c r="J34" i="95"/>
  <c r="K34" i="95" s="1"/>
  <c r="L34" i="95" s="1"/>
  <c r="R34" i="95"/>
  <c r="Q34" i="95"/>
  <c r="Q43" i="95"/>
  <c r="Q45" i="95"/>
  <c r="Q44" i="95"/>
  <c r="Q51" i="95"/>
  <c r="Q39" i="95"/>
  <c r="R39" i="95"/>
  <c r="Q40" i="95"/>
  <c r="R40" i="95"/>
  <c r="K40" i="95"/>
  <c r="L40" i="95" s="1"/>
  <c r="J37" i="93"/>
  <c r="S31" i="92"/>
  <c r="S18" i="100"/>
  <c r="K39" i="95"/>
  <c r="Q42" i="95"/>
  <c r="K38" i="95"/>
  <c r="L38" i="95" s="1"/>
  <c r="K33" i="95"/>
  <c r="L33" i="95" s="1"/>
  <c r="Q33" i="95"/>
  <c r="V33" i="95" s="1"/>
  <c r="R33" i="95"/>
  <c r="K45" i="93" l="1"/>
  <c r="S44" i="95" s="1"/>
  <c r="V32" i="95"/>
  <c r="U32" i="95"/>
  <c r="Z32" i="95" s="1"/>
  <c r="L32" i="95"/>
  <c r="V31" i="95"/>
  <c r="U31" i="95"/>
  <c r="Z31" i="95" s="1"/>
  <c r="L31" i="95"/>
  <c r="V50" i="95"/>
  <c r="T50" i="95"/>
  <c r="L50" i="95"/>
  <c r="V49" i="95"/>
  <c r="T49" i="95"/>
  <c r="L49" i="95"/>
  <c r="V46" i="95"/>
  <c r="T46" i="95"/>
  <c r="L46" i="95"/>
  <c r="V41" i="95"/>
  <c r="T41" i="95"/>
  <c r="L41" i="95"/>
  <c r="L39" i="95"/>
  <c r="V28" i="95"/>
  <c r="U28" i="95"/>
  <c r="Z28" i="95" s="1"/>
  <c r="L28" i="95"/>
  <c r="V27" i="95"/>
  <c r="U27" i="95"/>
  <c r="L27" i="95"/>
  <c r="V30" i="95"/>
  <c r="U30" i="95"/>
  <c r="Z30" i="95" s="1"/>
  <c r="L30" i="95"/>
  <c r="V29" i="95"/>
  <c r="U29" i="95"/>
  <c r="Z29" i="95" s="1"/>
  <c r="L29" i="95"/>
  <c r="V26" i="95"/>
  <c r="U26" i="95"/>
  <c r="Z26" i="95" s="1"/>
  <c r="L26" i="95"/>
  <c r="V48" i="95"/>
  <c r="T48" i="95"/>
  <c r="V47" i="95"/>
  <c r="T47" i="95"/>
  <c r="U18" i="104"/>
  <c r="L18" i="104"/>
  <c r="V35" i="95"/>
  <c r="T35" i="95"/>
  <c r="V37" i="95"/>
  <c r="T37" i="95"/>
  <c r="V53" i="92"/>
  <c r="U53" i="92"/>
  <c r="Z53" i="92" s="1"/>
  <c r="L53" i="92"/>
  <c r="V36" i="95"/>
  <c r="T36" i="95"/>
  <c r="V34" i="95"/>
  <c r="V43" i="95"/>
  <c r="T43" i="95"/>
  <c r="V45" i="95"/>
  <c r="V44" i="95"/>
  <c r="V51" i="95"/>
  <c r="T51" i="95"/>
  <c r="U33" i="95"/>
  <c r="W33" i="95" s="1"/>
  <c r="X33" i="95" s="1"/>
  <c r="AN33" i="95" s="1"/>
  <c r="T40" i="95"/>
  <c r="V40" i="95"/>
  <c r="V39" i="95"/>
  <c r="T39" i="95"/>
  <c r="U39" i="95" s="1"/>
  <c r="T42" i="95"/>
  <c r="U42" i="95" s="1"/>
  <c r="V42" i="95"/>
  <c r="U38" i="95"/>
  <c r="Z38" i="95" s="1"/>
  <c r="V38" i="95"/>
  <c r="K46" i="93" l="1"/>
  <c r="K47" i="93" s="1"/>
  <c r="W32" i="95"/>
  <c r="X32" i="95" s="1"/>
  <c r="AN32" i="95" s="1"/>
  <c r="W31" i="95"/>
  <c r="X31" i="95" s="1"/>
  <c r="AN31" i="95" s="1"/>
  <c r="AA50" i="95"/>
  <c r="U50" i="95"/>
  <c r="AA49" i="95"/>
  <c r="U49" i="95"/>
  <c r="AA48" i="95"/>
  <c r="U48" i="95"/>
  <c r="AA46" i="95"/>
  <c r="U46" i="95"/>
  <c r="AA41" i="95"/>
  <c r="U41" i="95"/>
  <c r="W28" i="95"/>
  <c r="X28" i="95" s="1"/>
  <c r="AN28" i="95" s="1"/>
  <c r="W27" i="95"/>
  <c r="X27" i="95" s="1"/>
  <c r="AN27" i="95" s="1"/>
  <c r="Z27" i="95"/>
  <c r="W30" i="95"/>
  <c r="X30" i="95" s="1"/>
  <c r="AN30" i="95" s="1"/>
  <c r="W26" i="95"/>
  <c r="X26" i="95" s="1"/>
  <c r="AN26" i="95" s="1"/>
  <c r="W29" i="95"/>
  <c r="X29" i="95" s="1"/>
  <c r="AN29" i="95" s="1"/>
  <c r="AA47" i="95"/>
  <c r="U47" i="95"/>
  <c r="W18" i="104"/>
  <c r="X18" i="104" s="1"/>
  <c r="AN18" i="104" s="1"/>
  <c r="Z18" i="104"/>
  <c r="AA35" i="95"/>
  <c r="U35" i="95"/>
  <c r="AA37" i="95"/>
  <c r="U37" i="95"/>
  <c r="W53" i="92"/>
  <c r="X53" i="92" s="1"/>
  <c r="AN53" i="92" s="1"/>
  <c r="AA36" i="95"/>
  <c r="U36" i="95"/>
  <c r="AA34" i="95"/>
  <c r="U34" i="95"/>
  <c r="W42" i="95"/>
  <c r="X42" i="95" s="1"/>
  <c r="AA45" i="95"/>
  <c r="U45" i="95"/>
  <c r="AA43" i="95"/>
  <c r="U43" i="95"/>
  <c r="AA51" i="95"/>
  <c r="U51" i="95"/>
  <c r="AA40" i="95"/>
  <c r="U40" i="95"/>
  <c r="W39" i="95"/>
  <c r="X39" i="95" s="1"/>
  <c r="Z39" i="95"/>
  <c r="Z42" i="95"/>
  <c r="W38" i="95"/>
  <c r="X38" i="95" s="1"/>
  <c r="Z33" i="95"/>
  <c r="N25" i="93" l="1"/>
  <c r="N26" i="93" s="1"/>
  <c r="AA44" i="95"/>
  <c r="U44" i="95"/>
  <c r="W50" i="95"/>
  <c r="X50" i="95" s="1"/>
  <c r="Z50" i="95"/>
  <c r="Z48" i="95"/>
  <c r="W48" i="95"/>
  <c r="X48" i="95" s="1"/>
  <c r="W49" i="95"/>
  <c r="X49" i="95" s="1"/>
  <c r="Z49" i="95"/>
  <c r="W46" i="95"/>
  <c r="X46" i="95" s="1"/>
  <c r="Z46" i="95"/>
  <c r="W41" i="95"/>
  <c r="X41" i="95" s="1"/>
  <c r="Z41" i="95"/>
  <c r="W47" i="95"/>
  <c r="X47" i="95" s="1"/>
  <c r="Z47" i="95"/>
  <c r="W35" i="95"/>
  <c r="X35" i="95" s="1"/>
  <c r="Z35" i="95"/>
  <c r="W37" i="95"/>
  <c r="X37" i="95" s="1"/>
  <c r="Z37" i="95"/>
  <c r="W36" i="95"/>
  <c r="X36" i="95" s="1"/>
  <c r="Z36" i="95"/>
  <c r="W34" i="95"/>
  <c r="X34" i="95" s="1"/>
  <c r="AN34" i="95" s="1"/>
  <c r="Z34" i="95"/>
  <c r="Z45" i="95"/>
  <c r="W45" i="95"/>
  <c r="X45" i="95" s="1"/>
  <c r="AN45" i="95" s="1"/>
  <c r="W43" i="95"/>
  <c r="X43" i="95" s="1"/>
  <c r="Z43" i="95"/>
  <c r="W51" i="95"/>
  <c r="X51" i="95" s="1"/>
  <c r="Z51" i="95"/>
  <c r="W40" i="95"/>
  <c r="X40" i="95" s="1"/>
  <c r="Z40" i="95"/>
  <c r="K17" i="104"/>
  <c r="L17" i="104" s="1"/>
  <c r="L19" i="104" s="1"/>
  <c r="V17" i="104"/>
  <c r="Q16" i="104"/>
  <c r="Q15" i="104"/>
  <c r="M14" i="104"/>
  <c r="J22" i="95"/>
  <c r="K25" i="95"/>
  <c r="R25" i="95"/>
  <c r="Q25" i="95"/>
  <c r="W44" i="95" l="1"/>
  <c r="X44" i="95" s="1"/>
  <c r="AN44" i="95" s="1"/>
  <c r="Z44" i="95"/>
  <c r="Z12" i="104"/>
  <c r="M18" i="104"/>
  <c r="K20" i="104"/>
  <c r="L20" i="104"/>
  <c r="K19" i="104"/>
  <c r="M17" i="104"/>
  <c r="L25" i="95"/>
  <c r="V25" i="95"/>
  <c r="Y18" i="104" l="1"/>
  <c r="N18" i="104"/>
  <c r="U17" i="104"/>
  <c r="U20" i="104" s="1"/>
  <c r="T19" i="104"/>
  <c r="AA18" i="104" s="1"/>
  <c r="T20" i="104"/>
  <c r="U25" i="95"/>
  <c r="Z25" i="95" s="1"/>
  <c r="AA38" i="95"/>
  <c r="Z17" i="104"/>
  <c r="N17" i="104"/>
  <c r="M19" i="104"/>
  <c r="M20" i="104"/>
  <c r="W17" i="104"/>
  <c r="X17" i="104" s="1"/>
  <c r="AN17" i="104" s="1"/>
  <c r="AN20" i="104" s="1"/>
  <c r="U19" i="104" l="1"/>
  <c r="AA42" i="95"/>
  <c r="AA39" i="95"/>
  <c r="AA17" i="104"/>
  <c r="W25" i="95"/>
  <c r="X25" i="95" s="1"/>
  <c r="AN25" i="95" s="1"/>
  <c r="AA33" i="95"/>
  <c r="Y17" i="104"/>
  <c r="Y20" i="104" s="1"/>
  <c r="X20" i="104"/>
  <c r="D27" i="105" s="1"/>
  <c r="F27" i="105" s="1"/>
  <c r="X19" i="104"/>
  <c r="N19" i="104"/>
  <c r="N20" i="104"/>
  <c r="J19" i="95"/>
  <c r="J18" i="95"/>
  <c r="Z20" i="104" l="1"/>
  <c r="AA20" i="104" s="1"/>
  <c r="Y19" i="104"/>
  <c r="J23" i="95" l="1"/>
  <c r="J20" i="95"/>
  <c r="J17" i="95"/>
  <c r="R24" i="95" l="1"/>
  <c r="Q24" i="95"/>
  <c r="K24" i="95"/>
  <c r="R23" i="95"/>
  <c r="Q23" i="95"/>
  <c r="K23" i="95"/>
  <c r="R22" i="95"/>
  <c r="Q22" i="95"/>
  <c r="V22" i="95" s="1"/>
  <c r="K22" i="95"/>
  <c r="R21" i="95"/>
  <c r="Q21" i="95"/>
  <c r="V21" i="95" s="1"/>
  <c r="K21" i="95"/>
  <c r="L21" i="95" s="1"/>
  <c r="R20" i="95"/>
  <c r="Q20" i="95"/>
  <c r="K20" i="95"/>
  <c r="L20" i="95" s="1"/>
  <c r="R19" i="95"/>
  <c r="Q19" i="95"/>
  <c r="V19" i="95" s="1"/>
  <c r="K19" i="95"/>
  <c r="R18" i="95"/>
  <c r="Q18" i="95"/>
  <c r="K18" i="95"/>
  <c r="L20" i="100"/>
  <c r="T21" i="95" l="1"/>
  <c r="U21" i="95" s="1"/>
  <c r="U22" i="95"/>
  <c r="Z22" i="95" s="1"/>
  <c r="U20" i="95"/>
  <c r="Z20" i="95" s="1"/>
  <c r="V20" i="95"/>
  <c r="U23" i="95"/>
  <c r="Z23" i="95" s="1"/>
  <c r="U24" i="95"/>
  <c r="Z24" i="95" s="1"/>
  <c r="V23" i="95"/>
  <c r="L19" i="95"/>
  <c r="V24" i="95"/>
  <c r="L23" i="95"/>
  <c r="L22" i="95"/>
  <c r="L24" i="95"/>
  <c r="U19" i="95"/>
  <c r="L18" i="95"/>
  <c r="V18" i="95"/>
  <c r="M20" i="100"/>
  <c r="N20" i="100" s="1"/>
  <c r="U18" i="95" l="1"/>
  <c r="Z21" i="95"/>
  <c r="W21" i="95"/>
  <c r="X21" i="95" s="1"/>
  <c r="W22" i="95"/>
  <c r="X22" i="95" s="1"/>
  <c r="AN22" i="95" s="1"/>
  <c r="W23" i="95"/>
  <c r="X23" i="95" s="1"/>
  <c r="AN23" i="95" s="1"/>
  <c r="W20" i="95"/>
  <c r="X20" i="95" s="1"/>
  <c r="AN20" i="95" s="1"/>
  <c r="W19" i="95"/>
  <c r="X19" i="95" s="1"/>
  <c r="AN19" i="95" s="1"/>
  <c r="Z19" i="95"/>
  <c r="W24" i="95"/>
  <c r="X24" i="95" s="1"/>
  <c r="AN24" i="95" s="1"/>
  <c r="Z18" i="95" l="1"/>
  <c r="W18" i="95"/>
  <c r="X18" i="95" s="1"/>
  <c r="AN18" i="95" s="1"/>
  <c r="AN53" i="95" s="1"/>
  <c r="V57" i="92"/>
  <c r="K57" i="92"/>
  <c r="L57" i="92" l="1"/>
  <c r="U57" i="92"/>
  <c r="R17" i="101"/>
  <c r="Q17" i="101"/>
  <c r="K17" i="101"/>
  <c r="Z57" i="92" l="1"/>
  <c r="W57" i="92"/>
  <c r="X57" i="92" s="1"/>
  <c r="AN57" i="92" s="1"/>
  <c r="U17" i="101"/>
  <c r="V17" i="101"/>
  <c r="K20" i="101"/>
  <c r="L20" i="101" s="1"/>
  <c r="R21" i="101"/>
  <c r="Q21" i="101"/>
  <c r="K21" i="101"/>
  <c r="R23" i="101"/>
  <c r="Q23" i="101"/>
  <c r="K23" i="101"/>
  <c r="L23" i="101" s="1"/>
  <c r="Q22" i="101"/>
  <c r="K22" i="101"/>
  <c r="L22" i="101" s="1"/>
  <c r="R20" i="100"/>
  <c r="Q20" i="100"/>
  <c r="K20" i="100"/>
  <c r="R20" i="101"/>
  <c r="Z17" i="101" l="1"/>
  <c r="L21" i="101"/>
  <c r="W17" i="101"/>
  <c r="X17" i="101" s="1"/>
  <c r="U21" i="101"/>
  <c r="V21" i="101"/>
  <c r="U23" i="101"/>
  <c r="Z23" i="101" s="1"/>
  <c r="V23" i="101"/>
  <c r="T22" i="101"/>
  <c r="U22" i="101" s="1"/>
  <c r="V22" i="101"/>
  <c r="U20" i="100"/>
  <c r="Z20" i="100" s="1"/>
  <c r="V20" i="100"/>
  <c r="V20" i="101"/>
  <c r="AN17" i="101" l="1"/>
  <c r="Z21" i="101"/>
  <c r="W21" i="101"/>
  <c r="X21" i="101" s="1"/>
  <c r="AN21" i="101" s="1"/>
  <c r="W23" i="101"/>
  <c r="X23" i="101" s="1"/>
  <c r="AN23" i="101" s="1"/>
  <c r="Z22" i="101"/>
  <c r="W22" i="101"/>
  <c r="X22" i="101" s="1"/>
  <c r="W20" i="100"/>
  <c r="X20" i="100" s="1"/>
  <c r="U20" i="101"/>
  <c r="U25" i="101" l="1"/>
  <c r="U24" i="101"/>
  <c r="Z20" i="101"/>
  <c r="W20" i="101"/>
  <c r="X20" i="101" s="1"/>
  <c r="AN20" i="101" l="1"/>
  <c r="AN25" i="101" s="1"/>
  <c r="X25" i="101"/>
  <c r="D25" i="105" s="1"/>
  <c r="E25" i="105" s="1"/>
  <c r="F25" i="105" s="1"/>
  <c r="X24" i="101"/>
  <c r="R17" i="95"/>
  <c r="Q17" i="95"/>
  <c r="K17" i="95"/>
  <c r="K53" i="95" l="1"/>
  <c r="K52" i="95"/>
  <c r="L17" i="95"/>
  <c r="V17" i="95"/>
  <c r="T17" i="95"/>
  <c r="L53" i="95" l="1"/>
  <c r="L52" i="95"/>
  <c r="T53" i="95"/>
  <c r="T52" i="95"/>
  <c r="U17" i="95"/>
  <c r="AA31" i="95" l="1"/>
  <c r="AA32" i="95"/>
  <c r="U52" i="95"/>
  <c r="U53" i="95"/>
  <c r="AA27" i="95"/>
  <c r="AA28" i="95"/>
  <c r="AA29" i="95"/>
  <c r="AA30" i="95"/>
  <c r="AA17" i="95"/>
  <c r="AA26" i="95"/>
  <c r="W17" i="95"/>
  <c r="X17" i="95" s="1"/>
  <c r="AA20" i="95"/>
  <c r="AA22" i="95"/>
  <c r="AA18" i="95"/>
  <c r="AA24" i="95"/>
  <c r="AA19" i="95"/>
  <c r="AA23" i="95"/>
  <c r="AA25" i="95"/>
  <c r="AA21" i="95"/>
  <c r="Z17" i="95"/>
  <c r="V56" i="92"/>
  <c r="R56" i="92"/>
  <c r="T56" i="92" s="1"/>
  <c r="K56" i="92"/>
  <c r="V55" i="92"/>
  <c r="R55" i="92"/>
  <c r="T55" i="92" s="1"/>
  <c r="K55" i="92"/>
  <c r="R19" i="101"/>
  <c r="Q19" i="101"/>
  <c r="K19" i="101"/>
  <c r="R18" i="101"/>
  <c r="Q18" i="101"/>
  <c r="K18" i="101"/>
  <c r="Q16" i="101"/>
  <c r="Q15" i="101"/>
  <c r="M14" i="101"/>
  <c r="R24" i="100"/>
  <c r="Q24" i="100"/>
  <c r="K24" i="100"/>
  <c r="L24" i="100" s="1"/>
  <c r="Q23" i="100"/>
  <c r="K23" i="100"/>
  <c r="L23" i="100" s="1"/>
  <c r="X52" i="95" l="1"/>
  <c r="X53" i="95"/>
  <c r="D26" i="105" s="1"/>
  <c r="F26" i="105" s="1"/>
  <c r="L55" i="92"/>
  <c r="Z12" i="101"/>
  <c r="M20" i="101"/>
  <c r="N20" i="101" s="1"/>
  <c r="U56" i="92"/>
  <c r="Z56" i="92" s="1"/>
  <c r="L56" i="92"/>
  <c r="U55" i="92"/>
  <c r="T18" i="101"/>
  <c r="L19" i="101"/>
  <c r="V18" i="101"/>
  <c r="T19" i="101"/>
  <c r="V19" i="101"/>
  <c r="U24" i="100"/>
  <c r="Z24" i="100" s="1"/>
  <c r="V24" i="100"/>
  <c r="V23" i="100"/>
  <c r="R21" i="100"/>
  <c r="Q21" i="100"/>
  <c r="K21" i="100"/>
  <c r="L21" i="100" s="1"/>
  <c r="R22" i="100"/>
  <c r="Q22" i="100"/>
  <c r="K22" i="100"/>
  <c r="L22" i="100" s="1"/>
  <c r="Q26" i="100"/>
  <c r="K26" i="100"/>
  <c r="Q25" i="100"/>
  <c r="K25" i="100"/>
  <c r="AA18" i="101" l="1"/>
  <c r="Z55" i="92"/>
  <c r="N18" i="101"/>
  <c r="U18" i="101"/>
  <c r="U19" i="101"/>
  <c r="U23" i="100"/>
  <c r="Z23" i="100" s="1"/>
  <c r="W56" i="92"/>
  <c r="X56" i="92" s="1"/>
  <c r="AN56" i="92" s="1"/>
  <c r="W55" i="92"/>
  <c r="X55" i="92" s="1"/>
  <c r="AN55" i="92" s="1"/>
  <c r="W18" i="101"/>
  <c r="X18" i="101" s="1"/>
  <c r="M19" i="101"/>
  <c r="W24" i="100"/>
  <c r="X24" i="100" s="1"/>
  <c r="U21" i="100"/>
  <c r="Z21" i="100" s="1"/>
  <c r="V21" i="100"/>
  <c r="V22" i="100"/>
  <c r="U22" i="100"/>
  <c r="Z22" i="100" s="1"/>
  <c r="V26" i="100"/>
  <c r="L26" i="100"/>
  <c r="U26" i="100"/>
  <c r="Z26" i="100" s="1"/>
  <c r="L25" i="100"/>
  <c r="V25" i="100"/>
  <c r="Q19" i="100"/>
  <c r="K19" i="100"/>
  <c r="W19" i="101" l="1"/>
  <c r="X19" i="101" s="1"/>
  <c r="Z18" i="101"/>
  <c r="Y18" i="101"/>
  <c r="AA19" i="101"/>
  <c r="Z19" i="101"/>
  <c r="N19" i="101"/>
  <c r="W23" i="100"/>
  <c r="X23" i="100" s="1"/>
  <c r="Y19" i="101"/>
  <c r="W22" i="100"/>
  <c r="X22" i="100" s="1"/>
  <c r="W21" i="100"/>
  <c r="X21" i="100" s="1"/>
  <c r="W26" i="100"/>
  <c r="X26" i="100" s="1"/>
  <c r="L19" i="100"/>
  <c r="U25" i="100"/>
  <c r="V19" i="100"/>
  <c r="K18" i="100"/>
  <c r="R18" i="100"/>
  <c r="Q18" i="100"/>
  <c r="K40" i="92"/>
  <c r="U19" i="100" l="1"/>
  <c r="L18" i="100"/>
  <c r="Z25" i="100"/>
  <c r="W25" i="100"/>
  <c r="X25" i="100" s="1"/>
  <c r="U18" i="100"/>
  <c r="Z18" i="100" s="1"/>
  <c r="V18" i="100"/>
  <c r="J17" i="100"/>
  <c r="W19" i="100" l="1"/>
  <c r="X19" i="100" s="1"/>
  <c r="Z19" i="100"/>
  <c r="W18" i="100"/>
  <c r="X18" i="100" s="1"/>
  <c r="Q75" i="92"/>
  <c r="R60" i="92" l="1"/>
  <c r="Q60" i="92"/>
  <c r="V60" i="92" s="1"/>
  <c r="K60" i="92"/>
  <c r="U60" i="92" l="1"/>
  <c r="Z60" i="92" s="1"/>
  <c r="L60" i="92"/>
  <c r="Q35" i="92"/>
  <c r="K35" i="92"/>
  <c r="L35" i="92" s="1"/>
  <c r="R34" i="92"/>
  <c r="Q34" i="92"/>
  <c r="K34" i="92"/>
  <c r="L34" i="92" s="1"/>
  <c r="R33" i="92"/>
  <c r="Q33" i="92"/>
  <c r="K33" i="92"/>
  <c r="V58" i="92"/>
  <c r="R58" i="92"/>
  <c r="K58" i="92"/>
  <c r="R32" i="92"/>
  <c r="Q32" i="92"/>
  <c r="K32" i="92"/>
  <c r="R31" i="92"/>
  <c r="K31" i="92"/>
  <c r="L31" i="92" s="1"/>
  <c r="R25" i="92"/>
  <c r="Q25" i="92"/>
  <c r="K25" i="92"/>
  <c r="L25" i="92" s="1"/>
  <c r="Q24" i="92"/>
  <c r="Q23" i="92"/>
  <c r="L58" i="92" l="1"/>
  <c r="L33" i="92"/>
  <c r="W60" i="92"/>
  <c r="X60" i="92" s="1"/>
  <c r="AN60" i="92" s="1"/>
  <c r="T35" i="92"/>
  <c r="U35" i="92" s="1"/>
  <c r="Z35" i="92" s="1"/>
  <c r="V35" i="92"/>
  <c r="T34" i="92"/>
  <c r="U34" i="92" s="1"/>
  <c r="Z34" i="92" s="1"/>
  <c r="V34" i="92"/>
  <c r="U33" i="92"/>
  <c r="U58" i="92"/>
  <c r="V33" i="92"/>
  <c r="L32" i="92"/>
  <c r="T32" i="92"/>
  <c r="U32" i="92" s="1"/>
  <c r="Z32" i="92" s="1"/>
  <c r="V32" i="92"/>
  <c r="U31" i="92"/>
  <c r="Z31" i="92" s="1"/>
  <c r="V31" i="92"/>
  <c r="T25" i="92"/>
  <c r="V25" i="92"/>
  <c r="Q17" i="100"/>
  <c r="K17" i="100"/>
  <c r="K27" i="100" s="1"/>
  <c r="Q16" i="100"/>
  <c r="Q15" i="100"/>
  <c r="M14" i="100"/>
  <c r="M17" i="101" s="1"/>
  <c r="R17" i="93"/>
  <c r="Q17" i="93"/>
  <c r="V17" i="93" s="1"/>
  <c r="K17" i="93"/>
  <c r="Q16" i="93"/>
  <c r="Q15" i="93"/>
  <c r="M25" i="101" l="1"/>
  <c r="M24" i="101"/>
  <c r="Z58" i="92"/>
  <c r="N17" i="101"/>
  <c r="Y17" i="101"/>
  <c r="M23" i="100"/>
  <c r="M24" i="100"/>
  <c r="M22" i="100"/>
  <c r="N22" i="100" s="1"/>
  <c r="M21" i="100"/>
  <c r="M26" i="100"/>
  <c r="M25" i="100"/>
  <c r="M19" i="100"/>
  <c r="M18" i="100"/>
  <c r="Z33" i="92"/>
  <c r="Z12" i="100"/>
  <c r="W35" i="92"/>
  <c r="X35" i="92" s="1"/>
  <c r="AN35" i="92" s="1"/>
  <c r="W33" i="92"/>
  <c r="X33" i="92" s="1"/>
  <c r="AN33" i="92" s="1"/>
  <c r="W34" i="92"/>
  <c r="X34" i="92" s="1"/>
  <c r="AN34" i="92" s="1"/>
  <c r="W58" i="92"/>
  <c r="X58" i="92" s="1"/>
  <c r="AN58" i="92" s="1"/>
  <c r="W32" i="92"/>
  <c r="X32" i="92" s="1"/>
  <c r="AN32" i="92" s="1"/>
  <c r="W31" i="92"/>
  <c r="X31" i="92" s="1"/>
  <c r="U25" i="92"/>
  <c r="Z25" i="92" s="1"/>
  <c r="T27" i="100"/>
  <c r="AA17" i="101" s="1"/>
  <c r="V17" i="100"/>
  <c r="L17" i="100"/>
  <c r="L27" i="100" s="1"/>
  <c r="U17" i="93"/>
  <c r="L17" i="93"/>
  <c r="N25" i="101" l="1"/>
  <c r="N24" i="101"/>
  <c r="N24" i="100"/>
  <c r="Y24" i="100"/>
  <c r="N23" i="100"/>
  <c r="Y23" i="100"/>
  <c r="Y22" i="100"/>
  <c r="N21" i="100"/>
  <c r="Y21" i="100"/>
  <c r="N19" i="100"/>
  <c r="N26" i="100"/>
  <c r="Y26" i="100"/>
  <c r="N25" i="100"/>
  <c r="Y25" i="100"/>
  <c r="M17" i="100"/>
  <c r="N18" i="100"/>
  <c r="Y18" i="100"/>
  <c r="AA17" i="93"/>
  <c r="U17" i="100"/>
  <c r="U27" i="100" s="1"/>
  <c r="W17" i="93"/>
  <c r="Z17" i="93"/>
  <c r="W25" i="92"/>
  <c r="X25" i="92" s="1"/>
  <c r="AN25" i="92" s="1"/>
  <c r="X17" i="93" l="1"/>
  <c r="AB17" i="93" s="1"/>
  <c r="AA24" i="100"/>
  <c r="AA26" i="100"/>
  <c r="AA23" i="100"/>
  <c r="AA22" i="100"/>
  <c r="AA21" i="100"/>
  <c r="AA18" i="100"/>
  <c r="AA19" i="100"/>
  <c r="AA25" i="100"/>
  <c r="W17" i="100"/>
  <c r="X17" i="100" s="1"/>
  <c r="Z17" i="100"/>
  <c r="N17" i="100"/>
  <c r="AA17" i="100"/>
  <c r="X27" i="100" l="1"/>
  <c r="D23" i="105" s="1"/>
  <c r="AN17" i="100"/>
  <c r="AN27" i="100" s="1"/>
  <c r="D24" i="105"/>
  <c r="Y17" i="100"/>
  <c r="Q16" i="95" l="1"/>
  <c r="Q15" i="95"/>
  <c r="M14" i="95"/>
  <c r="M32" i="95" l="1"/>
  <c r="M50" i="95"/>
  <c r="M31" i="95"/>
  <c r="M49" i="95"/>
  <c r="M46" i="95"/>
  <c r="M28" i="95"/>
  <c r="M39" i="95"/>
  <c r="M51" i="95"/>
  <c r="M44" i="95"/>
  <c r="M43" i="95"/>
  <c r="M45" i="95"/>
  <c r="M48" i="95"/>
  <c r="M47" i="95"/>
  <c r="M40" i="95"/>
  <c r="M38" i="95"/>
  <c r="N38" i="95" s="1"/>
  <c r="M42" i="95"/>
  <c r="M37" i="95"/>
  <c r="M36" i="95"/>
  <c r="M35" i="95"/>
  <c r="M34" i="95"/>
  <c r="M33" i="95"/>
  <c r="M41" i="95"/>
  <c r="M30" i="95"/>
  <c r="M27" i="95"/>
  <c r="M26" i="95"/>
  <c r="M29" i="95"/>
  <c r="M25" i="95"/>
  <c r="M22" i="95"/>
  <c r="M20" i="95"/>
  <c r="M21" i="95"/>
  <c r="M23" i="95"/>
  <c r="M19" i="95"/>
  <c r="M18" i="95"/>
  <c r="M24" i="95"/>
  <c r="M23" i="101"/>
  <c r="N23" i="101" s="1"/>
  <c r="M21" i="101"/>
  <c r="M22" i="101"/>
  <c r="M17" i="95"/>
  <c r="Z12" i="95"/>
  <c r="Q49" i="92"/>
  <c r="V49" i="92" s="1"/>
  <c r="K49" i="92"/>
  <c r="R42" i="92"/>
  <c r="R76" i="92"/>
  <c r="Q76" i="92"/>
  <c r="K76" i="92"/>
  <c r="L76" i="92" s="1"/>
  <c r="R75" i="92"/>
  <c r="V75" i="92"/>
  <c r="K75" i="92"/>
  <c r="R74" i="92"/>
  <c r="Q74" i="92"/>
  <c r="K74" i="92"/>
  <c r="K73" i="92"/>
  <c r="R72" i="92"/>
  <c r="Q72" i="92"/>
  <c r="V72" i="92" s="1"/>
  <c r="K72" i="92"/>
  <c r="Q71" i="92"/>
  <c r="Q70" i="92"/>
  <c r="K77" i="92" l="1"/>
  <c r="N50" i="95"/>
  <c r="Y50" i="95"/>
  <c r="N32" i="95"/>
  <c r="Y32" i="95"/>
  <c r="Y31" i="95"/>
  <c r="N31" i="95"/>
  <c r="M52" i="95"/>
  <c r="Y52" i="95" s="1"/>
  <c r="M53" i="95"/>
  <c r="N30" i="95"/>
  <c r="Y30" i="95"/>
  <c r="Y49" i="95"/>
  <c r="N49" i="95"/>
  <c r="N28" i="95"/>
  <c r="Y28" i="95"/>
  <c r="Y46" i="95"/>
  <c r="N46" i="95"/>
  <c r="Y39" i="95"/>
  <c r="N39" i="95"/>
  <c r="Y51" i="95"/>
  <c r="N51" i="95"/>
  <c r="Y44" i="95"/>
  <c r="N44" i="95"/>
  <c r="Y43" i="95"/>
  <c r="N43" i="95"/>
  <c r="Y45" i="95"/>
  <c r="N45" i="95"/>
  <c r="Y48" i="95"/>
  <c r="N48" i="95"/>
  <c r="Y47" i="95"/>
  <c r="N47" i="95"/>
  <c r="Y40" i="95"/>
  <c r="N40" i="95"/>
  <c r="Y42" i="95"/>
  <c r="N42" i="95"/>
  <c r="Y37" i="95"/>
  <c r="N37" i="95"/>
  <c r="Y36" i="95"/>
  <c r="N36" i="95"/>
  <c r="Y35" i="95"/>
  <c r="N35" i="95"/>
  <c r="Y34" i="95"/>
  <c r="N34" i="95"/>
  <c r="Y33" i="95"/>
  <c r="N33" i="95"/>
  <c r="Y41" i="95"/>
  <c r="N41" i="95"/>
  <c r="Y27" i="95"/>
  <c r="N27" i="95"/>
  <c r="Y26" i="95"/>
  <c r="N26" i="95"/>
  <c r="N29" i="95"/>
  <c r="Y29" i="95"/>
  <c r="Y25" i="95"/>
  <c r="N25" i="95"/>
  <c r="Y24" i="101"/>
  <c r="Y38" i="95"/>
  <c r="N23" i="95"/>
  <c r="Y23" i="95"/>
  <c r="N19" i="95"/>
  <c r="Y19" i="95"/>
  <c r="N20" i="95"/>
  <c r="Y20" i="95"/>
  <c r="N24" i="95"/>
  <c r="Y24" i="95"/>
  <c r="Y18" i="95"/>
  <c r="N18" i="95"/>
  <c r="N21" i="95"/>
  <c r="Y21" i="95"/>
  <c r="N22" i="95"/>
  <c r="Y22" i="95"/>
  <c r="Y23" i="101"/>
  <c r="N27" i="100"/>
  <c r="M27" i="100"/>
  <c r="Y27" i="100" s="1"/>
  <c r="C28" i="96" s="1"/>
  <c r="D28" i="96" s="1"/>
  <c r="Y20" i="100"/>
  <c r="N21" i="101"/>
  <c r="Y21" i="101"/>
  <c r="N22" i="101"/>
  <c r="Y22" i="101"/>
  <c r="N17" i="95"/>
  <c r="Y17" i="95"/>
  <c r="Y19" i="100"/>
  <c r="L49" i="92"/>
  <c r="T72" i="92"/>
  <c r="L74" i="92"/>
  <c r="L75" i="92"/>
  <c r="L72" i="92"/>
  <c r="L73" i="92"/>
  <c r="U76" i="92"/>
  <c r="Z76" i="92" s="1"/>
  <c r="V76" i="92"/>
  <c r="T74" i="92"/>
  <c r="U74" i="92" s="1"/>
  <c r="V74" i="92"/>
  <c r="T73" i="92"/>
  <c r="V73" i="92"/>
  <c r="L77" i="92" l="1"/>
  <c r="Y53" i="95"/>
  <c r="C23" i="96" s="1"/>
  <c r="N52" i="95"/>
  <c r="N53" i="95"/>
  <c r="T77" i="92"/>
  <c r="U72" i="92"/>
  <c r="Z72" i="92" s="1"/>
  <c r="B28" i="96"/>
  <c r="W72" i="92"/>
  <c r="X72" i="92" s="1"/>
  <c r="AN72" i="92" s="1"/>
  <c r="U49" i="92"/>
  <c r="U73" i="92"/>
  <c r="Z73" i="92" s="1"/>
  <c r="W74" i="92"/>
  <c r="X74" i="92" s="1"/>
  <c r="AN74" i="92" s="1"/>
  <c r="U75" i="92"/>
  <c r="Z74" i="92"/>
  <c r="W76" i="92"/>
  <c r="X76" i="92" s="1"/>
  <c r="AN76" i="92" s="1"/>
  <c r="Z53" i="95" l="1"/>
  <c r="AA53" i="95" s="1"/>
  <c r="B23" i="96"/>
  <c r="D23" i="96" s="1"/>
  <c r="E23" i="96" s="1"/>
  <c r="U77" i="92"/>
  <c r="E28" i="96"/>
  <c r="Z75" i="92"/>
  <c r="AA72" i="92"/>
  <c r="AA74" i="92"/>
  <c r="W73" i="92"/>
  <c r="X73" i="92" s="1"/>
  <c r="AN73" i="92" s="1"/>
  <c r="Z49" i="92"/>
  <c r="W49" i="92"/>
  <c r="X49" i="92" s="1"/>
  <c r="AN49" i="92" s="1"/>
  <c r="W75" i="92"/>
  <c r="X75" i="92" s="1"/>
  <c r="AN75" i="92" s="1"/>
  <c r="AA73" i="92"/>
  <c r="AA76" i="92"/>
  <c r="AA75" i="92"/>
  <c r="X77" i="92" l="1"/>
  <c r="K68" i="92"/>
  <c r="R67" i="92"/>
  <c r="Q67" i="92"/>
  <c r="K67" i="92"/>
  <c r="R66" i="92"/>
  <c r="Q66" i="92"/>
  <c r="T66" i="92" s="1"/>
  <c r="K66" i="92"/>
  <c r="R65" i="92"/>
  <c r="Q65" i="92"/>
  <c r="V65" i="92" s="1"/>
  <c r="K65" i="92"/>
  <c r="Q64" i="92"/>
  <c r="V64" i="92" s="1"/>
  <c r="K64" i="92"/>
  <c r="Q63" i="92"/>
  <c r="Q62" i="92"/>
  <c r="R59" i="92"/>
  <c r="Q59" i="92"/>
  <c r="V59" i="92" s="1"/>
  <c r="K59" i="92"/>
  <c r="Q45" i="92"/>
  <c r="V43" i="92"/>
  <c r="Q51" i="92"/>
  <c r="V51" i="92" s="1"/>
  <c r="K51" i="92"/>
  <c r="L51" i="92" s="1"/>
  <c r="R54" i="92"/>
  <c r="T54" i="92" s="1"/>
  <c r="K54" i="92"/>
  <c r="R50" i="92"/>
  <c r="Q50" i="92"/>
  <c r="K50" i="92"/>
  <c r="R47" i="92"/>
  <c r="Q47" i="92"/>
  <c r="K47" i="92"/>
  <c r="R48" i="92"/>
  <c r="Q48" i="92"/>
  <c r="K48" i="92"/>
  <c r="R52" i="92"/>
  <c r="Q52" i="92"/>
  <c r="V52" i="92" s="1"/>
  <c r="K52" i="92"/>
  <c r="Q46" i="92"/>
  <c r="R43" i="92"/>
  <c r="Q42" i="92"/>
  <c r="K42" i="92"/>
  <c r="R41" i="92"/>
  <c r="K41" i="92"/>
  <c r="R40" i="92"/>
  <c r="Q40" i="92"/>
  <c r="Q39" i="92"/>
  <c r="Q38" i="92"/>
  <c r="R36" i="92"/>
  <c r="Q36" i="92"/>
  <c r="K36" i="92"/>
  <c r="Q30" i="92"/>
  <c r="V30" i="92" s="1"/>
  <c r="K30" i="92"/>
  <c r="Q29" i="92"/>
  <c r="V29" i="92" s="1"/>
  <c r="K29" i="92"/>
  <c r="L29" i="92" s="1"/>
  <c r="R28" i="92"/>
  <c r="Q28" i="92"/>
  <c r="V28" i="92" s="1"/>
  <c r="K28" i="92"/>
  <c r="Q27" i="92"/>
  <c r="Q26" i="92"/>
  <c r="K18" i="92"/>
  <c r="L18" i="92" s="1"/>
  <c r="K20" i="92"/>
  <c r="L20" i="92" s="1"/>
  <c r="K21" i="92"/>
  <c r="L21" i="92" s="1"/>
  <c r="K19" i="92"/>
  <c r="Q21" i="92"/>
  <c r="V21" i="92" s="1"/>
  <c r="R20" i="92"/>
  <c r="Q20" i="92"/>
  <c r="V20" i="92" s="1"/>
  <c r="Q19" i="92"/>
  <c r="V19" i="92" s="1"/>
  <c r="Q18" i="92"/>
  <c r="V18" i="92" s="1"/>
  <c r="Q17" i="92"/>
  <c r="V17" i="92" s="1"/>
  <c r="K17" i="92"/>
  <c r="Q16" i="92"/>
  <c r="Q15" i="92"/>
  <c r="T36" i="92" l="1"/>
  <c r="T67" i="92"/>
  <c r="U67" i="92" s="1"/>
  <c r="K22" i="92"/>
  <c r="K69" i="92"/>
  <c r="K37" i="92"/>
  <c r="V40" i="92"/>
  <c r="L54" i="92"/>
  <c r="K61" i="92"/>
  <c r="L19" i="92"/>
  <c r="L47" i="92"/>
  <c r="L17" i="92"/>
  <c r="L28" i="92"/>
  <c r="T51" i="92"/>
  <c r="V66" i="92"/>
  <c r="V41" i="92"/>
  <c r="T64" i="92"/>
  <c r="V42" i="92"/>
  <c r="T18" i="92"/>
  <c r="U18" i="92" s="1"/>
  <c r="Z18" i="92" s="1"/>
  <c r="T29" i="92"/>
  <c r="U29" i="92" s="1"/>
  <c r="W29" i="92" s="1"/>
  <c r="X29" i="92" s="1"/>
  <c r="AN29" i="92" s="1"/>
  <c r="U65" i="92"/>
  <c r="Z65" i="92" s="1"/>
  <c r="U20" i="92"/>
  <c r="Z20" i="92" s="1"/>
  <c r="K43" i="92"/>
  <c r="K44" i="92" s="1"/>
  <c r="U59" i="92"/>
  <c r="V54" i="92"/>
  <c r="L64" i="92"/>
  <c r="U50" i="92"/>
  <c r="V50" i="92"/>
  <c r="U66" i="92"/>
  <c r="Z66" i="92" s="1"/>
  <c r="L68" i="92"/>
  <c r="V68" i="92"/>
  <c r="L65" i="92"/>
  <c r="L66" i="92"/>
  <c r="L67" i="92"/>
  <c r="V67" i="92"/>
  <c r="L59" i="92"/>
  <c r="V47" i="92"/>
  <c r="U52" i="92"/>
  <c r="V48" i="92"/>
  <c r="L52" i="92"/>
  <c r="L50" i="92"/>
  <c r="T30" i="92"/>
  <c r="L48" i="92"/>
  <c r="L40" i="92"/>
  <c r="L41" i="92"/>
  <c r="L42" i="92"/>
  <c r="L30" i="92"/>
  <c r="V36" i="92"/>
  <c r="L36" i="92"/>
  <c r="K78" i="92" l="1"/>
  <c r="L37" i="92"/>
  <c r="L22" i="92"/>
  <c r="L61" i="92"/>
  <c r="T69" i="92"/>
  <c r="AA67" i="92" s="1"/>
  <c r="T37" i="92"/>
  <c r="L69" i="92"/>
  <c r="T44" i="92"/>
  <c r="AA43" i="92" s="1"/>
  <c r="U51" i="92"/>
  <c r="Z51" i="92" s="1"/>
  <c r="T61" i="92"/>
  <c r="T22" i="92"/>
  <c r="AA21" i="92" s="1"/>
  <c r="T78" i="92"/>
  <c r="U36" i="92"/>
  <c r="W36" i="92" s="1"/>
  <c r="X36" i="92" s="1"/>
  <c r="AN36" i="92" s="1"/>
  <c r="U17" i="92"/>
  <c r="U40" i="92"/>
  <c r="U47" i="92"/>
  <c r="U28" i="92"/>
  <c r="U64" i="92"/>
  <c r="W59" i="92"/>
  <c r="X59" i="92" s="1"/>
  <c r="AN59" i="92" s="1"/>
  <c r="U21" i="92"/>
  <c r="W21" i="92" s="1"/>
  <c r="X21" i="92" s="1"/>
  <c r="AN21" i="92" s="1"/>
  <c r="U30" i="92"/>
  <c r="Z30" i="92" s="1"/>
  <c r="W67" i="92"/>
  <c r="X67" i="92" s="1"/>
  <c r="AN67" i="92" s="1"/>
  <c r="Z50" i="92"/>
  <c r="W50" i="92"/>
  <c r="X50" i="92" s="1"/>
  <c r="AN50" i="92" s="1"/>
  <c r="L43" i="92"/>
  <c r="Z52" i="92"/>
  <c r="U48" i="92"/>
  <c r="U68" i="92"/>
  <c r="W68" i="92" s="1"/>
  <c r="X68" i="92" s="1"/>
  <c r="AN68" i="92" s="1"/>
  <c r="W52" i="92"/>
  <c r="X52" i="92" s="1"/>
  <c r="AN52" i="92" s="1"/>
  <c r="Z59" i="92"/>
  <c r="U54" i="92"/>
  <c r="Z67" i="92"/>
  <c r="W66" i="92"/>
  <c r="X66" i="92" s="1"/>
  <c r="AN66" i="92" s="1"/>
  <c r="W18" i="92"/>
  <c r="X18" i="92" s="1"/>
  <c r="AN18" i="92" s="1"/>
  <c r="W65" i="92"/>
  <c r="X65" i="92" s="1"/>
  <c r="AN65" i="92" s="1"/>
  <c r="U19" i="92"/>
  <c r="W20" i="92"/>
  <c r="X20" i="92" s="1"/>
  <c r="AN20" i="92" s="1"/>
  <c r="Z29" i="92"/>
  <c r="U42" i="92"/>
  <c r="U43" i="92"/>
  <c r="U41" i="92"/>
  <c r="U37" i="92" l="1"/>
  <c r="W17" i="92"/>
  <c r="X17" i="92" s="1"/>
  <c r="AN17" i="92" s="1"/>
  <c r="Z17" i="92"/>
  <c r="AA57" i="92"/>
  <c r="AA53" i="92"/>
  <c r="L78" i="92"/>
  <c r="L44" i="92"/>
  <c r="U69" i="92"/>
  <c r="U44" i="92"/>
  <c r="U61" i="92"/>
  <c r="W51" i="92"/>
  <c r="X51" i="92" s="1"/>
  <c r="AN51" i="92" s="1"/>
  <c r="U22" i="92"/>
  <c r="U78" i="92"/>
  <c r="AA55" i="92"/>
  <c r="AA56" i="92"/>
  <c r="Z19" i="92"/>
  <c r="W64" i="92"/>
  <c r="X64" i="92" s="1"/>
  <c r="Z47" i="92"/>
  <c r="W40" i="92"/>
  <c r="X40" i="92" s="1"/>
  <c r="Z36" i="92"/>
  <c r="W47" i="92"/>
  <c r="X47" i="92" s="1"/>
  <c r="AN47" i="92" s="1"/>
  <c r="W28" i="92"/>
  <c r="X28" i="92" s="1"/>
  <c r="AN28" i="92" s="1"/>
  <c r="Z28" i="92"/>
  <c r="Z40" i="92"/>
  <c r="Z64" i="92"/>
  <c r="Z21" i="92"/>
  <c r="W30" i="92"/>
  <c r="X30" i="92" s="1"/>
  <c r="AN30" i="92" s="1"/>
  <c r="AA58" i="92"/>
  <c r="AA60" i="92"/>
  <c r="AA36" i="92"/>
  <c r="AA25" i="92"/>
  <c r="AA64" i="92"/>
  <c r="AA51" i="92"/>
  <c r="AA49" i="92"/>
  <c r="AA48" i="92"/>
  <c r="AA50" i="92"/>
  <c r="AA68" i="92"/>
  <c r="AA65" i="92"/>
  <c r="AA66" i="92"/>
  <c r="AA17" i="92"/>
  <c r="AA20" i="92"/>
  <c r="AA18" i="92"/>
  <c r="AA19" i="92"/>
  <c r="Z68" i="92"/>
  <c r="AA52" i="92"/>
  <c r="Z48" i="92"/>
  <c r="W48" i="92"/>
  <c r="X48" i="92" s="1"/>
  <c r="AN48" i="92" s="1"/>
  <c r="AA47" i="92"/>
  <c r="AA59" i="92"/>
  <c r="AA54" i="92"/>
  <c r="AA40" i="92"/>
  <c r="W54" i="92"/>
  <c r="X54" i="92" s="1"/>
  <c r="AN54" i="92" s="1"/>
  <c r="Z54" i="92"/>
  <c r="W19" i="92"/>
  <c r="X19" i="92" s="1"/>
  <c r="AN19" i="92" s="1"/>
  <c r="Z42" i="92"/>
  <c r="W42" i="92"/>
  <c r="X42" i="92" s="1"/>
  <c r="Z41" i="92"/>
  <c r="W41" i="92"/>
  <c r="X41" i="92" s="1"/>
  <c r="Z43" i="92"/>
  <c r="W43" i="92"/>
  <c r="X43" i="92" s="1"/>
  <c r="AA41" i="92"/>
  <c r="AA42" i="92"/>
  <c r="AA28" i="92"/>
  <c r="AA30" i="92"/>
  <c r="AA29" i="92"/>
  <c r="AN40" i="92" l="1"/>
  <c r="X78" i="92"/>
  <c r="D22" i="105" s="1"/>
  <c r="X69" i="92"/>
  <c r="AN64" i="92"/>
  <c r="AN78" i="92" s="1"/>
  <c r="X37" i="92"/>
  <c r="X61" i="92"/>
  <c r="X44" i="92"/>
  <c r="X22" i="92"/>
  <c r="M14" i="93"/>
  <c r="M14" i="92"/>
  <c r="E23" i="105" l="1"/>
  <c r="F23" i="105" s="1"/>
  <c r="M57" i="92"/>
  <c r="N57" i="92" s="1"/>
  <c r="M53" i="92"/>
  <c r="Y20" i="101"/>
  <c r="Y25" i="101" s="1"/>
  <c r="M56" i="92"/>
  <c r="M28" i="92"/>
  <c r="M55" i="92"/>
  <c r="M60" i="92"/>
  <c r="M34" i="92"/>
  <c r="N34" i="92" s="1"/>
  <c r="M35" i="92"/>
  <c r="M58" i="92"/>
  <c r="Y58" i="92" s="1"/>
  <c r="M33" i="92"/>
  <c r="M31" i="92"/>
  <c r="Y31" i="92" s="1"/>
  <c r="M32" i="92"/>
  <c r="M49" i="92"/>
  <c r="N49" i="92" s="1"/>
  <c r="M25" i="92"/>
  <c r="Z12" i="93"/>
  <c r="M17" i="93"/>
  <c r="Y17" i="93" s="1"/>
  <c r="M76" i="92"/>
  <c r="M73" i="92"/>
  <c r="M74" i="92"/>
  <c r="M72" i="92"/>
  <c r="M75" i="92"/>
  <c r="M54" i="92"/>
  <c r="M64" i="92"/>
  <c r="M51" i="92"/>
  <c r="M67" i="92"/>
  <c r="M65" i="92"/>
  <c r="M59" i="92"/>
  <c r="M68" i="92"/>
  <c r="M66" i="92"/>
  <c r="Z12" i="92"/>
  <c r="M47" i="92"/>
  <c r="M50" i="92"/>
  <c r="M48" i="92"/>
  <c r="M52" i="92"/>
  <c r="M17" i="92"/>
  <c r="M18" i="92"/>
  <c r="M19" i="92"/>
  <c r="M21" i="92"/>
  <c r="M40" i="92"/>
  <c r="M20" i="92"/>
  <c r="M36" i="92"/>
  <c r="M29" i="92"/>
  <c r="M30" i="92"/>
  <c r="M42" i="92"/>
  <c r="M43" i="92"/>
  <c r="M41" i="92"/>
  <c r="E34" i="105" l="1"/>
  <c r="F34" i="105" s="1"/>
  <c r="Y57" i="92"/>
  <c r="M69" i="92"/>
  <c r="M77" i="92"/>
  <c r="Y77" i="92" s="1"/>
  <c r="M22" i="92"/>
  <c r="Y22" i="92" s="1"/>
  <c r="M37" i="92"/>
  <c r="Y37" i="92" s="1"/>
  <c r="Y53" i="92"/>
  <c r="N53" i="92"/>
  <c r="N56" i="92"/>
  <c r="Y56" i="92"/>
  <c r="M61" i="92"/>
  <c r="Y61" i="92" s="1"/>
  <c r="M78" i="92"/>
  <c r="M44" i="92"/>
  <c r="Y44" i="92" s="1"/>
  <c r="C22" i="96"/>
  <c r="B22" i="96"/>
  <c r="Y34" i="92"/>
  <c r="N55" i="92"/>
  <c r="Y55" i="92"/>
  <c r="AA20" i="101"/>
  <c r="C27" i="96"/>
  <c r="C29" i="96" s="1"/>
  <c r="Y69" i="92"/>
  <c r="N58" i="92"/>
  <c r="N17" i="93"/>
  <c r="C24" i="105" s="1"/>
  <c r="E24" i="105" s="1"/>
  <c r="F24" i="105" s="1"/>
  <c r="N31" i="92"/>
  <c r="N60" i="92"/>
  <c r="Y60" i="92"/>
  <c r="N35" i="92"/>
  <c r="Y35" i="92"/>
  <c r="N33" i="92"/>
  <c r="Y33" i="92"/>
  <c r="Y49" i="92"/>
  <c r="Y32" i="92"/>
  <c r="N32" i="92"/>
  <c r="N25" i="92"/>
  <c r="Y25" i="92"/>
  <c r="Y74" i="92"/>
  <c r="N74" i="92"/>
  <c r="N75" i="92"/>
  <c r="Y75" i="92"/>
  <c r="Y72" i="92"/>
  <c r="N72" i="92"/>
  <c r="N73" i="92"/>
  <c r="Y73" i="92"/>
  <c r="N76" i="92"/>
  <c r="Y76" i="92"/>
  <c r="N50" i="92"/>
  <c r="Y50" i="92"/>
  <c r="N48" i="92"/>
  <c r="Y48" i="92"/>
  <c r="N47" i="92"/>
  <c r="Y47" i="92"/>
  <c r="N52" i="92"/>
  <c r="Y52" i="92"/>
  <c r="N59" i="92"/>
  <c r="Y59" i="92"/>
  <c r="N51" i="92"/>
  <c r="Y51" i="92"/>
  <c r="N54" i="92"/>
  <c r="Y54" i="92"/>
  <c r="N68" i="92"/>
  <c r="Y68" i="92"/>
  <c r="N64" i="92"/>
  <c r="Y64" i="92"/>
  <c r="N66" i="92"/>
  <c r="Y66" i="92"/>
  <c r="N65" i="92"/>
  <c r="Y65" i="92"/>
  <c r="N67" i="92"/>
  <c r="Y67" i="92"/>
  <c r="N20" i="92"/>
  <c r="Y20" i="92"/>
  <c r="N21" i="92"/>
  <c r="Y21" i="92"/>
  <c r="N41" i="92"/>
  <c r="Y41" i="92"/>
  <c r="N18" i="92"/>
  <c r="Y18" i="92"/>
  <c r="N30" i="92"/>
  <c r="Y30" i="92"/>
  <c r="N40" i="92"/>
  <c r="Y40" i="92"/>
  <c r="Y29" i="92"/>
  <c r="N29" i="92"/>
  <c r="N19" i="92"/>
  <c r="Y19" i="92"/>
  <c r="N36" i="92"/>
  <c r="Y36" i="92"/>
  <c r="N43" i="92"/>
  <c r="Y43" i="92"/>
  <c r="N42" i="92"/>
  <c r="Y42" i="92"/>
  <c r="N28" i="92"/>
  <c r="Y28" i="92"/>
  <c r="N17" i="92"/>
  <c r="Y17" i="92"/>
  <c r="F41" i="105" l="1"/>
  <c r="E33" i="105"/>
  <c r="F33" i="105" s="1"/>
  <c r="E35" i="105"/>
  <c r="F35" i="105" s="1"/>
  <c r="N22" i="92"/>
  <c r="N37" i="92"/>
  <c r="N77" i="92"/>
  <c r="D22" i="96"/>
  <c r="N69" i="92"/>
  <c r="N61" i="92"/>
  <c r="N44" i="92"/>
  <c r="N78" i="92"/>
  <c r="C22" i="105" s="1"/>
  <c r="Y78" i="92"/>
  <c r="B27" i="96"/>
  <c r="D27" i="96" s="1"/>
  <c r="B17" i="96"/>
  <c r="B18" i="96" s="1"/>
  <c r="E22" i="105" l="1"/>
  <c r="E22" i="96"/>
  <c r="E27" i="96"/>
  <c r="B29" i="96"/>
  <c r="D29" i="96" s="1"/>
  <c r="E29" i="96" s="1"/>
  <c r="E17" i="96"/>
  <c r="B21" i="96"/>
  <c r="C21" i="96"/>
  <c r="C24" i="96" s="1"/>
  <c r="F28" i="105" l="1"/>
  <c r="F22" i="105"/>
  <c r="B24" i="96"/>
  <c r="D21" i="96"/>
  <c r="C31" i="96"/>
  <c r="C32" i="96"/>
  <c r="B32" i="96" l="1"/>
  <c r="D32" i="96" s="1"/>
  <c r="E32" i="96" s="1"/>
  <c r="B31" i="96"/>
  <c r="D24" i="96"/>
  <c r="E24" i="96" s="1"/>
  <c r="E21" i="9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tc={1F870187-B1C3-4B6F-BE98-5613E26B04D4}</author>
    <author>tc={5B1BB38B-054E-42AE-BEB1-DBA7B3B79E36}</author>
    <author>tc={F707B532-CA6E-435A-A26B-1E90C34E518C}</author>
    <author>tc={43F04614-6509-4AC0-9316-99581EEB87AA}</author>
    <author>tc={C2AE45E0-EE7F-4345-BBDB-4F6B53975FF4}</author>
    <author>tc={B39F925E-EB89-440C-B5D5-19CF304C534A}</author>
  </authors>
  <commentList>
    <comment ref="S31" authorId="0" shapeId="0" xr:uid="{1F870187-B1C3-4B6F-BE98-5613E26B04D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Descontar montadora</t>
      </text>
    </comment>
    <comment ref="T54" authorId="1" shapeId="0" xr:uid="{5B1BB38B-054E-42AE-BEB1-DBA7B3B79E3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Desconto de uma diária da bicuda</t>
      </text>
    </comment>
    <comment ref="S60" authorId="2" shapeId="0" xr:uid="{F707B532-CA6E-435A-A26B-1E90C34E518C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3k Engenheiro pago pela Think</t>
      </text>
    </comment>
    <comment ref="T68" authorId="3" shapeId="0" xr:uid="{43F04614-6509-4AC0-9316-99581EEB87A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05 diárias - Marcelo + 01 diária Tere</t>
      </text>
    </comment>
    <comment ref="S72" authorId="4" shapeId="0" xr:uid="{C2AE45E0-EE7F-4345-BBDB-4F6B53975FF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Prestação de Contas Carol</t>
      </text>
    </comment>
    <comment ref="S76" authorId="5" shapeId="0" xr:uid="{B39F925E-EB89-440C-B5D5-19CF304C534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R$ 1.911,87 - REFERENTE A COMPRA DE 09 HDMI SEM FIO
Responder:
    149,73 REF. ESTACIONAMENTO LUIZA
Responder:
    327,50 	SK COPIADORA 
382,00 	SK COPIADORA
100,00  SK COPIADORA
Responder:
    1.200,00 Janaína Limpeza
Responder:
    R$ 811,08 - Reembolso Bruno Melo
Responder:
    R$ 531,09 Reembolso Jaque
Responder:
    992,45 - Reembolso Ellen
Responder:
    575,97 - Reembolso Ellen
Responder:
    1.2181,63 - Reembolso Fernanda
Responder:
    603,53 +1711,23 Reembolso Isabela 
Responder:
    992,87 - Reembolso Shirley
Responder:
    264,12 - Reembolso Vinicuis (videomaker)
Responder:
    2238,63 Reembolso Baixinho
Responder:
    15014,56 Prestação de Contas Carol
Responder:
    6.573,58 - Prestação Peterson
Responder:
    2617,82 Reembolso Luiza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tc={B2D3CD1F-03A8-4CDB-B7EF-BE9BE731E60B}</author>
    <author>tc={2A65C41F-6CFB-448D-BCEB-93DBB288236B}</author>
  </authors>
  <commentList>
    <comment ref="S18" authorId="0" shapeId="0" xr:uid="{B2D3CD1F-03A8-4CDB-B7EF-BE9BE731E60B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Desconto de 3.850,00 pagamento a vista</t>
      </text>
    </comment>
    <comment ref="S26" authorId="1" shapeId="0" xr:uid="{2A65C41F-6CFB-448D-BCEB-93DBB288236B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Valor de 50% cobrado pela Think referente a estrutura painel de led, lonas salas de reunião e alteração de piso MDF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tc={B111E3C7-B54F-499E-9191-3604D26C47DF}</author>
  </authors>
  <commentList>
    <comment ref="S17" authorId="0" shapeId="0" xr:uid="{B111E3C7-B54F-499E-9191-3604D26C47D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913.761,10 
Produtor Dedicado - 15k
Criativo Dedicado - 5k
Pré-montagem - 20k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tc={6665C6BA-FD1A-475F-B0DF-AF29CE3F74FD}</author>
  </authors>
  <commentList>
    <comment ref="T21" authorId="0" shapeId="0" xr:uid="{6665C6BA-FD1A-475F-B0DF-AF29CE3F74FD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Cartão Bela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tc={92D54FBF-D509-4D09-BBCC-A0EC2B836FFF}</author>
    <author>tc={4D585EC5-666E-4DFB-9714-40BB0C822F8C}</author>
    <author>tc={1B56B5C8-6C7A-41C6-A177-452825821368}</author>
  </authors>
  <commentList>
    <comment ref="S38" authorId="0" shapeId="0" xr:uid="{92D54FBF-D509-4D09-BBCC-A0EC2B836FF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Reembolso Pet</t>
      </text>
    </comment>
    <comment ref="S39" authorId="1" shapeId="0" xr:uid="{4D585EC5-666E-4DFB-9714-40BB0C822F8C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Descontar montadora
Responder:
    Meiar a responsab.</t>
      </text>
    </comment>
    <comment ref="S40" authorId="2" shapeId="0" xr:uid="{1B56B5C8-6C7A-41C6-A177-45282582136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Descontar montadora</t>
      </text>
    </comment>
  </commentList>
</comments>
</file>

<file path=xl/sharedStrings.xml><?xml version="1.0" encoding="utf-8"?>
<sst xmlns="http://schemas.openxmlformats.org/spreadsheetml/2006/main" count="1461" uniqueCount="511">
  <si>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</si>
  <si>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</si>
  <si>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</si>
  <si>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</si>
  <si>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</si>
  <si>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</si>
  <si>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</si>
  <si>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</si>
  <si>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</si>
  <si>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VALOR</t>
  </si>
  <si>
    <t/>
  </si>
  <si>
    <t>PREENCHER OS CAMPOS CORRETAMENTE</t>
  </si>
  <si>
    <t>DADOS DO JOB</t>
  </si>
  <si>
    <t>Data:</t>
  </si>
  <si>
    <t>Contratante:</t>
  </si>
  <si>
    <t>Oggi Eventos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</si>
  <si>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</si>
  <si>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</si>
  <si>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</si>
  <si>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</si>
  <si>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</si>
  <si>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</si>
  <si>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</si>
  <si>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</si>
  <si>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</si>
  <si>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</si>
  <si>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</si>
  <si>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</si>
  <si>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</si>
  <si>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</si>
  <si>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</si>
  <si>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</si>
  <si>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</si>
  <si>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</si>
  <si>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</si>
  <si>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</si>
  <si>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</si>
  <si>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</si>
  <si>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</si>
  <si>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</si>
  <si>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</si>
  <si>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</si>
  <si>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</si>
  <si>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</si>
  <si>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</si>
  <si>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</si>
  <si>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</si>
  <si>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Descrição</t>
  </si>
  <si>
    <t>ENCARGOS PUBLI</t>
  </si>
  <si>
    <t>Agência</t>
  </si>
  <si>
    <t>FORNECEDOR</t>
  </si>
  <si>
    <t>PAGAMENTOS</t>
  </si>
  <si>
    <t>Solicitado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</si>
  <si>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</si>
  <si>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</si>
  <si>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</si>
  <si>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</si>
  <si>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</si>
  <si>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</si>
  <si>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</si>
  <si>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</si>
  <si>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</si>
  <si>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</si>
  <si>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</si>
  <si>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</si>
  <si>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</si>
  <si>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</si>
  <si>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</si>
  <si>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</si>
  <si>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</si>
  <si>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</si>
  <si>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</si>
  <si>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</si>
  <si>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( X ) Pessoa Jurídica</t>
  </si>
  <si>
    <t>SUBTOTAL</t>
  </si>
  <si>
    <t>Peso</t>
  </si>
  <si>
    <t>RESUMO</t>
  </si>
  <si>
    <t>DESCRITIVO</t>
  </si>
  <si>
    <t>Qtd</t>
  </si>
  <si>
    <t>Diária</t>
  </si>
  <si>
    <t>R$ unit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</si>
  <si>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</si>
  <si>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</si>
  <si>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</si>
  <si>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</si>
  <si>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</si>
  <si>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</si>
  <si>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</si>
  <si>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</si>
  <si>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CUSTO TOTAL + IMPOSTOS</t>
  </si>
  <si>
    <t>Margem</t>
  </si>
  <si>
    <t>Valor Total</t>
  </si>
  <si>
    <t>Saldo</t>
  </si>
  <si>
    <t>Fornecedor</t>
  </si>
  <si>
    <t>CPF/CNPJ</t>
  </si>
  <si>
    <t>PENDENTE</t>
  </si>
  <si>
    <t>EFETUADO</t>
  </si>
  <si>
    <t>1.1.2</t>
  </si>
  <si>
    <t>24/06/2025</t>
  </si>
  <si>
    <t xml:space="preserve"> </t>
  </si>
  <si>
    <t>Orçamento Produção Oggi 5.1.xlsm</t>
  </si>
  <si>
    <t>24.636.168/0001-56</t>
  </si>
  <si>
    <t>CLINICA DEBORA PADUA LTDA</t>
  </si>
  <si>
    <t>(11) 8209-4333</t>
  </si>
  <si>
    <t>24/06/25</t>
  </si>
  <si>
    <t>( X ) Boleto</t>
  </si>
  <si>
    <t>Santader</t>
  </si>
  <si>
    <t>123123</t>
  </si>
  <si>
    <t>12312</t>
  </si>
  <si>
    <t>R$ 100,00</t>
  </si>
  <si>
    <t>Teste</t>
  </si>
  <si>
    <t xml:space="preserve">   </t>
  </si>
  <si>
    <t>ORÇAMENTO 5.2</t>
  </si>
  <si>
    <t>Nilson Miguel</t>
  </si>
  <si>
    <t>DATA:</t>
  </si>
  <si>
    <t>ATENDIMENTO:</t>
  </si>
  <si>
    <t>PRODUTOR:</t>
  </si>
  <si>
    <t>NOME PLANILHA:</t>
  </si>
  <si>
    <t>LOCAL:</t>
  </si>
  <si>
    <t>EVENTO:</t>
  </si>
  <si>
    <t>CLIENTE:</t>
  </si>
  <si>
    <t xml:space="preserve">CÓDIGO DO JOB: </t>
  </si>
  <si>
    <t>Lactalis do Brasil</t>
  </si>
  <si>
    <t>L_077</t>
  </si>
  <si>
    <t>Apas Show 2026</t>
  </si>
  <si>
    <t>Expo Center Norte</t>
  </si>
  <si>
    <t>Carol Iglezias| Luiza Tavora</t>
  </si>
  <si>
    <t>L_077_Apas Show_2026</t>
  </si>
  <si>
    <t>GRUPO</t>
  </si>
  <si>
    <t>SUBGRUPO</t>
  </si>
  <si>
    <t>1.1</t>
  </si>
  <si>
    <t>AGENCIAMENTO</t>
  </si>
  <si>
    <t>IMPOSTOS</t>
  </si>
  <si>
    <t>Marg.</t>
  </si>
  <si>
    <t>ITEM</t>
  </si>
  <si>
    <t>1.1.1</t>
  </si>
  <si>
    <t>1.1.3</t>
  </si>
  <si>
    <t>1.1.4</t>
  </si>
  <si>
    <t>1.1.5</t>
  </si>
  <si>
    <t>1.1.6</t>
  </si>
  <si>
    <t>1.1.7</t>
  </si>
  <si>
    <t>1.1.8</t>
  </si>
  <si>
    <t>SUBTOTAL SUBGRUPO</t>
  </si>
  <si>
    <t xml:space="preserve">Subtotal </t>
  </si>
  <si>
    <t>INTERNO</t>
  </si>
  <si>
    <t>FAT.CLIENTE</t>
  </si>
  <si>
    <t>Credenciais de montagem</t>
  </si>
  <si>
    <t>De 18 a 20/05, das 12 às 20h|  e 21/05, das 12 às 18h</t>
  </si>
  <si>
    <t>Planejamento Operacional</t>
  </si>
  <si>
    <t>Planejamento e desenvolvimento do estande com apresentação do projeto em 3D - Incluso 01 refação. Após será cobrado novo planejamento.</t>
  </si>
  <si>
    <t xml:space="preserve">Criação </t>
  </si>
  <si>
    <t>Atendimento ao cliente, reuniões, alinhamento e fluxo interno</t>
  </si>
  <si>
    <t>Produtor executivo dedicado, responsável pela pré-produção, implementação do projeto e pós produção</t>
  </si>
  <si>
    <t>Suporte e acompanhamento junto ao produtor executivo</t>
  </si>
  <si>
    <t>FAT.OGGI</t>
  </si>
  <si>
    <t>2.1</t>
  </si>
  <si>
    <t>2.1.1</t>
  </si>
  <si>
    <t>OPERACIONAL</t>
  </si>
  <si>
    <t>3.1</t>
  </si>
  <si>
    <t>3.1.1</t>
  </si>
  <si>
    <t>3.1.2</t>
  </si>
  <si>
    <t>3.1.3</t>
  </si>
  <si>
    <t>3.1.4</t>
  </si>
  <si>
    <t>3.1.5</t>
  </si>
  <si>
    <t>Equipamentos</t>
  </si>
  <si>
    <t xml:space="preserve">Plataforma elevatória | considerando 3 diárias de montagem e 1 desmontagem </t>
  </si>
  <si>
    <t>Monta cargas</t>
  </si>
  <si>
    <t>Balcão refrigerado</t>
  </si>
  <si>
    <t>Buffet</t>
  </si>
  <si>
    <t>Subtotal Alimentos &amp; Bebidas</t>
  </si>
  <si>
    <t xml:space="preserve">A&amp;B </t>
  </si>
  <si>
    <t>Café</t>
  </si>
  <si>
    <t>Maquina de café expresso - com direito a 2.000 cafés - incluso grãos, sachês de açucar e adoçante e pazinhas| atendimento recepção e salas de reunião</t>
  </si>
  <si>
    <t>Bebida alcoólica</t>
  </si>
  <si>
    <t>Gelo</t>
  </si>
  <si>
    <t>4.1</t>
  </si>
  <si>
    <t>4.1.1</t>
  </si>
  <si>
    <t>4.1.2</t>
  </si>
  <si>
    <t>4.1.3</t>
  </si>
  <si>
    <t>4.1.4</t>
  </si>
  <si>
    <t>Copeira</t>
  </si>
  <si>
    <t>Serviços</t>
  </si>
  <si>
    <t>Garçom</t>
  </si>
  <si>
    <t>Limpeza matinal + manutenção</t>
  </si>
  <si>
    <t>Carregador</t>
  </si>
  <si>
    <t>Promotoras</t>
  </si>
  <si>
    <t>Segurança</t>
  </si>
  <si>
    <t>5.1</t>
  </si>
  <si>
    <t>5.1.1</t>
  </si>
  <si>
    <t>5.1.2</t>
  </si>
  <si>
    <t>5.1.3</t>
  </si>
  <si>
    <t>5.1.4</t>
  </si>
  <si>
    <t>5.1.5</t>
  </si>
  <si>
    <t>Equipe de Produção</t>
  </si>
  <si>
    <t>Produtor (full time) dedicado no período de pré montagem,  e  desmontagem do estande;  sendo 03 dias na montadora,  05 dias de montagem e 01 dia de desmontagem.</t>
  </si>
  <si>
    <t>Produtor (full time) para o período de realização do evento</t>
  </si>
  <si>
    <t xml:space="preserve">Produtor responsável pela supervisão geral do setor de alimentação do estante </t>
  </si>
  <si>
    <t xml:space="preserve">Pre evento e evento (entrega de credenciais na feira) </t>
  </si>
  <si>
    <t>Subtotal Produtores</t>
  </si>
  <si>
    <t>6.1</t>
  </si>
  <si>
    <t>6.1.1</t>
  </si>
  <si>
    <t>6.1.2</t>
  </si>
  <si>
    <t>6.1.3</t>
  </si>
  <si>
    <t>6.1.4</t>
  </si>
  <si>
    <t>6.1.5</t>
  </si>
  <si>
    <t>Alimentação</t>
  </si>
  <si>
    <t>Rádio comunicador</t>
  </si>
  <si>
    <t>Seguro</t>
  </si>
  <si>
    <t>RC e AP (Responsabilidade Civil Eventos) e Acidentes Pessoais Eventos</t>
  </si>
  <si>
    <t xml:space="preserve">Uniforme promotora </t>
  </si>
  <si>
    <t>Reserva de verba</t>
  </si>
  <si>
    <t>Telefonia para negociações com os fornecedores, motoboy,lavanderia, logística equipe, transporte e reserva de verba para custos operacionais.</t>
  </si>
  <si>
    <t>SUBTOTAL PLANILHA</t>
  </si>
  <si>
    <t>Marg. Lucro</t>
  </si>
  <si>
    <t>Lucro</t>
  </si>
  <si>
    <t>02 dias de montagem | 04 dias de evento| 01 dia de desmontagem | Auxilio em toda operação do estande + produtos Lactalis e abastecimento</t>
  </si>
  <si>
    <t>Equipe de garçons experientes padrão apas</t>
  </si>
  <si>
    <t>Copeira para manuseio e preparação dos alimentos na cozinha</t>
  </si>
  <si>
    <t>Limpeza pesada antes do início da feira (incluso material de limpeza)</t>
  </si>
  <si>
    <t>Subtotal Equipe de serviços</t>
  </si>
  <si>
    <t>Apoio operacional durante o evento - controle de mezanino</t>
  </si>
  <si>
    <t xml:space="preserve">TV's </t>
  </si>
  <si>
    <t>Custos Internos</t>
  </si>
  <si>
    <t>Equipe interna de produção</t>
  </si>
  <si>
    <t xml:space="preserve">Estande </t>
  </si>
  <si>
    <t>Itens complementares diversos</t>
  </si>
  <si>
    <t xml:space="preserve">Led </t>
  </si>
  <si>
    <t>Profissional para gerenciar toda a equipe (garçon/copeira/limpeza), responsável pelo abastecimento, controle e gerenciamento dos produtos.</t>
  </si>
  <si>
    <t>Destina-se à equipe de vigilância do 
estande. Fornecida pela APAS -Valor solicitado até dia 17/04 R$ 640,00, após essa data R$ 1.280,00</t>
  </si>
  <si>
    <t xml:space="preserve"> A&amp;B</t>
  </si>
  <si>
    <t xml:space="preserve">Balcão aço inox refrigerado aprox. 2,00m - 220V + frete </t>
  </si>
  <si>
    <t>2 diárias</t>
  </si>
  <si>
    <t xml:space="preserve">TOTAL </t>
  </si>
  <si>
    <t>Opcionais</t>
  </si>
  <si>
    <t>Subtotal 1</t>
  </si>
  <si>
    <t>Produção</t>
  </si>
  <si>
    <t>Espaço</t>
  </si>
  <si>
    <t>Q/11-0 - 196m - Responsabilidade do cliente</t>
  </si>
  <si>
    <t xml:space="preserve">APC Soluções de Alto Nível </t>
  </si>
  <si>
    <t>Monta cargas para alimentos</t>
  </si>
  <si>
    <t xml:space="preserve">Geladeira Expositora </t>
  </si>
  <si>
    <t>Frigobar</t>
  </si>
  <si>
    <t>Área de atendimnento</t>
  </si>
  <si>
    <t>Verba destinada chapelaria e cozinha</t>
  </si>
  <si>
    <t>Cesto de Lixo</t>
  </si>
  <si>
    <t>Engenharia</t>
  </si>
  <si>
    <t>Alimentação da equipe no decorrer do evento + período de montagem</t>
  </si>
  <si>
    <t>AMENTO 5.2</t>
  </si>
  <si>
    <t>Documentação, equipe especializada e laudo técnico</t>
  </si>
  <si>
    <t>De 18 a 20/05 e 21/05</t>
  </si>
  <si>
    <t>3.1.6</t>
  </si>
  <si>
    <t>3.1.7</t>
  </si>
  <si>
    <t>3.1.8</t>
  </si>
  <si>
    <t>3.1.9</t>
  </si>
  <si>
    <t>5.1.6</t>
  </si>
  <si>
    <t>5.1.7</t>
  </si>
  <si>
    <t>5.1.8</t>
  </si>
  <si>
    <t>5.1.9</t>
  </si>
  <si>
    <t>5.1.10</t>
  </si>
  <si>
    <t>7.1</t>
  </si>
  <si>
    <t>7.1.1</t>
  </si>
  <si>
    <t>7.1.2</t>
  </si>
  <si>
    <t>7.1.3</t>
  </si>
  <si>
    <t>7.1.4</t>
  </si>
  <si>
    <t>Opção 04 -  Think Opção 02 - Casa</t>
  </si>
  <si>
    <t>Considerando 2 peças para cada promotora - Conj. e Macacão alfaiataria</t>
  </si>
  <si>
    <t>Pontos aéreos</t>
  </si>
  <si>
    <t>ND - 60 dias após o evento</t>
  </si>
  <si>
    <t>Operacional Extra - Opção 02 - Think Casa</t>
  </si>
  <si>
    <t>Estande 2 (versão branco ou azul)</t>
  </si>
  <si>
    <t>Supervisão / Abastecimento</t>
  </si>
  <si>
    <t>Prêmio Stand APAS Show by POPAI 2026</t>
  </si>
  <si>
    <t>PAINEL DE LED 3.9 nas medidas - 15.5x2m e 9x2m = 49m2</t>
  </si>
  <si>
    <t>Atendimento - Fernanda</t>
  </si>
  <si>
    <t>Produtor Executivo - Carol</t>
  </si>
  <si>
    <t>Estande - Carol</t>
  </si>
  <si>
    <t>Alimentos &amp; Bebidas - Luiza</t>
  </si>
  <si>
    <t>Equipe de serviços - Carol</t>
  </si>
  <si>
    <t>Produtores - Carol</t>
  </si>
  <si>
    <t>Diversos - Carol</t>
  </si>
  <si>
    <t>ESTANDES - Shirley</t>
  </si>
  <si>
    <t>Prateleiras</t>
  </si>
  <si>
    <t>Para área de atendimento, ao lado das estações de exposição, próximo ao balcão de serviço e salas de reuniões.</t>
  </si>
  <si>
    <t>Produção de vídeo led testeiras</t>
  </si>
  <si>
    <t>1.1.9</t>
  </si>
  <si>
    <t>1.1.11</t>
  </si>
  <si>
    <t>Vitrines 1x2m - 6 unidades</t>
  </si>
  <si>
    <t>Comunicação Visual</t>
  </si>
  <si>
    <t>Mezanino: 01 Imagem em lona impressa em trainel, medindo 1,70 x 1,90m.</t>
  </si>
  <si>
    <t>Mezanino: 04 Imagens em lona impressa em trainel, medindo 1,70 x 0,90m.</t>
  </si>
  <si>
    <t>01  "Frase "  em espuma pack, medindo 1,40 x PP</t>
  </si>
  <si>
    <t>01  "Frase "  em espuma pack, medindo 6,00 x PP</t>
  </si>
  <si>
    <t>18m Prateleiras com 05 niveis, construidas em octanorme, medindo 1,00 x 0,50 x 2,20(h)m. 
*Diferença de custo.</t>
  </si>
  <si>
    <t>Estrutura</t>
  </si>
  <si>
    <t xml:space="preserve">Comunicação Visual </t>
  </si>
  <si>
    <t>Subtotal Opcionais</t>
  </si>
  <si>
    <t>TOTAL L_077_Apas Show_2026</t>
  </si>
  <si>
    <t>Painel de Led Lateral Medidas 3,00x1,50m = 4,5m2
Retorno da proposta inicial com lona impressa ao invés do led
01 Tranel com logotipia sobreposta para substituir painel de led, medindo 3,00 x 1,50(h)m.</t>
  </si>
  <si>
    <t>1.1.10</t>
  </si>
  <si>
    <t>A&amp;B</t>
  </si>
  <si>
    <t>Compra de máquina de café</t>
  </si>
  <si>
    <t>Uniforme</t>
  </si>
  <si>
    <t>Avental personalizado em brim com bolsos – 2 unidades por garçom.</t>
  </si>
  <si>
    <t>Carrinho Degustação</t>
  </si>
  <si>
    <t>Carrinho expositor personalizado em MDF, com prateleiras internas e compartimento inferior para armazenamento. Possui tampo superior de apoio, rodízios para fácil mobilidade e acabamento com identidade visual da marca.
Custo para mais de 1 peça - R$ 1.650,00 unidade</t>
  </si>
  <si>
    <t>Equipe para controle de acesso as salas de reuniões + ativação + degustação - Oggi Nivel A</t>
  </si>
  <si>
    <t>Equipe para controle de acesso as salas de reuniões + ativação + degustação - Agência UP (Indicação DPA)</t>
  </si>
  <si>
    <t>Equipe para controle de acesso as salas de reuniões + ativação + degustação - Indicação Lactalis</t>
  </si>
  <si>
    <t>Voil + Ignifugar e  documentação</t>
  </si>
  <si>
    <t xml:space="preserve">06 Aumento de logos para fita led. </t>
  </si>
  <si>
    <t>Produtor Assistente - Sheila/Luiza</t>
  </si>
  <si>
    <t>Produtor de montagem e desmontagem  - Ellen</t>
  </si>
  <si>
    <t>Produtor de alimentos e bebidas - Isa</t>
  </si>
  <si>
    <t>Produtor de credenciamento - Jaque</t>
  </si>
  <si>
    <t>OK</t>
  </si>
  <si>
    <t xml:space="preserve">Pontos aéreos para fixação do estande </t>
  </si>
  <si>
    <t>Fotógrafo - André Sena</t>
  </si>
  <si>
    <t>Produtor operacional  - Natália</t>
  </si>
  <si>
    <t>20 Rádios comunicadores - Incluindo montagem</t>
  </si>
  <si>
    <t>5.1.11</t>
  </si>
  <si>
    <t>5.1.12</t>
  </si>
  <si>
    <t>5.1.13</t>
  </si>
  <si>
    <t>7.1.5</t>
  </si>
  <si>
    <t>Respon. Carrinho Parmalat Fit</t>
  </si>
  <si>
    <t>Totem Food Service</t>
  </si>
  <si>
    <t>Comum. Visual</t>
  </si>
  <si>
    <t>1.1.12</t>
  </si>
  <si>
    <t>Alteração do local e tamanho dos logos de espuma pack no voil das 03 marcas</t>
  </si>
  <si>
    <t>Estrutura do estande</t>
  </si>
  <si>
    <t>Troca dos vidros das vitrines para vidros individuais por nicho</t>
  </si>
  <si>
    <t xml:space="preserve">Alteração da testeira das estações de degustação para acrilico retro iluminado </t>
  </si>
  <si>
    <t>Troca de puxadores das portas (cortesia)</t>
  </si>
  <si>
    <t>Aumento do forro do bar</t>
  </si>
  <si>
    <t>Totem personalizado
Sistema Touch Screen de alta sensibilidade e resolução
Tela de 43'</t>
  </si>
  <si>
    <t>Bebidas adicionais - Cris Suonco</t>
  </si>
  <si>
    <t>Subtotal 2</t>
  </si>
  <si>
    <t>Técnico de segurança</t>
  </si>
  <si>
    <t>Suporte TV</t>
  </si>
  <si>
    <t>Compra de suporte de TV tubulares fixação no teto</t>
  </si>
  <si>
    <t>Personagens Gênio e Coração Chambinho</t>
  </si>
  <si>
    <t>Pago</t>
  </si>
  <si>
    <t>Contratação de atores para personagens do Gênio de Chamyto e Coração de Chambinho
01 diária de um ator/atriz acompanhado de produtor para acompanhamento e controle de horários - Periodo de 01h por dia</t>
  </si>
  <si>
    <t>Interno</t>
  </si>
  <si>
    <t>Save</t>
  </si>
  <si>
    <t>Solicitar</t>
  </si>
  <si>
    <t>Ceno</t>
  </si>
  <si>
    <t>Solicitei</t>
  </si>
  <si>
    <t>Operacional Extra - Opção 02 - Think Casa -  Shirlei</t>
  </si>
  <si>
    <t>Vinicius Jesus de Andrade</t>
  </si>
  <si>
    <t>62.475.564/0001-38</t>
  </si>
  <si>
    <t>Sim</t>
  </si>
  <si>
    <t>Chapelaria</t>
  </si>
  <si>
    <t xml:space="preserve">Produtor de apoio - Marcelo </t>
  </si>
  <si>
    <t xml:space="preserve">Produtor </t>
  </si>
  <si>
    <t>ND</t>
  </si>
  <si>
    <t>1.1.13</t>
  </si>
  <si>
    <t>1.1.14</t>
  </si>
  <si>
    <t>1.1.16</t>
  </si>
  <si>
    <t>1.1.17</t>
  </si>
  <si>
    <t>1.1.18</t>
  </si>
  <si>
    <t>1.1.19</t>
  </si>
  <si>
    <t>1.1.20</t>
  </si>
  <si>
    <t>1.1.21</t>
  </si>
  <si>
    <t>1.1.22</t>
  </si>
  <si>
    <t>1.1.23</t>
  </si>
  <si>
    <t>1.1.25</t>
  </si>
  <si>
    <t>1.1.26</t>
  </si>
  <si>
    <t>1.1.27</t>
  </si>
  <si>
    <t>1.1.28</t>
  </si>
  <si>
    <t>1.1.41</t>
  </si>
  <si>
    <t>1.1.42</t>
  </si>
  <si>
    <t>1.1.43</t>
  </si>
  <si>
    <t>1.1.44</t>
  </si>
  <si>
    <t>1.1.45</t>
  </si>
  <si>
    <t>1.1.46</t>
  </si>
  <si>
    <t>Adicionais quebras
04 taça flute  
08 cestinhas vime</t>
  </si>
  <si>
    <t>COPOS DE CAFÉ BIODEGRADÁVEIS EXCEDENTES (CAIXA COM MIL) ENTREGUE DIA 20/05 + INSUMOS (MEXEDORES 2000 + SACHE AÇUCAR + SACHÊ DE ADOÇANTE (Cortesia)</t>
  </si>
  <si>
    <t>Gelo
Dia 18/05 – 15 pctes
Dia 19/05 – 18 pctes
Dia 20/05 – 19 pctes 
Dia 21/05 – 10 pctes
Total – 62 pctes</t>
  </si>
  <si>
    <t xml:space="preserve">Vinhos Consignados - responsabilidade Lactalis
Aprox. 40 vinhos </t>
  </si>
  <si>
    <t>Locação de 12 taças de vinhos e 12 copos de whishy (Cortesia)
Necessidade de mais itens ao longo da feira</t>
  </si>
  <si>
    <t>Convites Extras</t>
  </si>
  <si>
    <t>DPA
79520 | Credencial Expositor 01 Dia Adicional | 8 | 345,00
79520 | Convite Adicional | 11 | 550,00</t>
  </si>
  <si>
    <t>DPA
104640 | Credencial Expositor Adicional | 4 | 560,00</t>
  </si>
  <si>
    <t>Itambé
87044 | Convite Adicional| 4 | 550,00</t>
  </si>
  <si>
    <t>Credenciais
115461 | Compra de Credencial de Agência | 3 | 160,00</t>
  </si>
  <si>
    <t>Eletricista|Cenotécnico</t>
  </si>
  <si>
    <t>R$ 3.860,00 Lona já prevista inicialmente no projeto</t>
  </si>
  <si>
    <t>"50% do saldo" cobrado pelos ajustes iniciais do projeto informado inicialmente que estava dentro do valor</t>
  </si>
  <si>
    <t>Engenheiro</t>
  </si>
  <si>
    <t>Locação Geladeira Expositora</t>
  </si>
  <si>
    <t>50% Contratação Segurança do trabalho</t>
  </si>
  <si>
    <t>Eletricista|Cenotécnico manutenção durante a feira</t>
  </si>
  <si>
    <t>Locação 03 mesas na medida correta</t>
  </si>
  <si>
    <t>Fechamento Think</t>
  </si>
  <si>
    <t xml:space="preserve">Inicial acordado + 40k </t>
  </si>
  <si>
    <t>Contratação Internet</t>
  </si>
  <si>
    <t>Almoço Lactalis 
Ifood estande - 21.05</t>
  </si>
  <si>
    <t>Alimentação Lactalis
Compra MC Donalds 17.05</t>
  </si>
  <si>
    <t>Carregadores Adicional Desmontagem</t>
  </si>
  <si>
    <t>Cápsulas de Café</t>
  </si>
  <si>
    <t>Locação Ventilador</t>
  </si>
  <si>
    <t>Relógio de parede salas de reunião</t>
  </si>
  <si>
    <t>1.1.15</t>
  </si>
  <si>
    <t xml:space="preserve">Compra de bebidas Espumante Chandon Brut (7), Energético e Coca Cola Mini </t>
  </si>
  <si>
    <t>Reimpressão lonas
Quadro Chandelle, Sala Batavo e Painel de marcas</t>
  </si>
  <si>
    <t>Logo Lactalis Fundo do Estande</t>
  </si>
  <si>
    <t>Sala de reunião</t>
  </si>
  <si>
    <t>Bebidas</t>
  </si>
  <si>
    <t>Operacional - Opção 02- Think Casa</t>
  </si>
  <si>
    <t>121942 | Compra de Credencial de Outros Serviços 
ONTRADE</t>
  </si>
  <si>
    <t>Aumento da quantidade de bebidas - Alteração de 800 copos para 1600 copos por dia</t>
  </si>
  <si>
    <t>Lactalis
116873 | Credencial Expositor 01 Dia Adicional | 1 | 345,00</t>
  </si>
  <si>
    <t>Serviços Carregador adicional
115297| Compra de Credencial de Outros Serviços | 1 | 160,00</t>
  </si>
  <si>
    <t>DPA
87058 |  Credencial Expositor 01 Dia Adicional | 1 | 345,00</t>
  </si>
  <si>
    <t>Serviços Limpeza e carregador adicionais
l98534 | Compra de Credencial de Agência   | 3 | 160,00</t>
  </si>
  <si>
    <t>TOTAL GERAL</t>
  </si>
  <si>
    <t>Total pago</t>
  </si>
  <si>
    <t>Valor pendente</t>
  </si>
  <si>
    <t>Total Geral</t>
  </si>
  <si>
    <t>Desconto emissão de NF</t>
  </si>
  <si>
    <t>Itens Chapelaria (Ficha numerada, lacre numerado e itens de papelaria)</t>
  </si>
  <si>
    <t>Extras pós evento</t>
  </si>
  <si>
    <t>Subtotal 3</t>
  </si>
  <si>
    <t>TOTAL (Subtotal 1 + Subtotal 2 + Subtotal 3)</t>
  </si>
  <si>
    <t>APAS SHOW 2026 - Taxas</t>
  </si>
  <si>
    <t>APAS SHOW 2026 - Produção</t>
  </si>
  <si>
    <t>APAS SHOW 2026 - Estande (ND)</t>
  </si>
  <si>
    <t>TOTAL A SER PAGO &gt; OGGI</t>
  </si>
  <si>
    <t>Extras 1</t>
  </si>
  <si>
    <t>Extras 2</t>
  </si>
  <si>
    <t xml:space="preserve">Estande - Opção 02 - Think Casa </t>
  </si>
  <si>
    <t>Taxas &gt; Pagamento direto Lactalis</t>
  </si>
  <si>
    <t>Telas para as salas de reunião + estações de degustação (desconto de 50,00 por TV, troca de suporte)</t>
  </si>
  <si>
    <t>Cerveja long neck - Consumo final 18 Heineken e 10 Stella já descontando packs abertos na retirada)</t>
  </si>
  <si>
    <r>
      <t xml:space="preserve">Criação, desenvolvimento e finalização das peças.Incluso 03 refação. Após será cobrado nova extra.  *****Cobrar de acordo com o projeto****
</t>
    </r>
    <r>
      <rPr>
        <sz val="16"/>
        <color rgb="FFFF0000"/>
        <rFont val="Trebuchet MS"/>
        <family val="2"/>
      </rPr>
      <t xml:space="preserve">VALOR REFERENTE A REVISÃO E ACOMPANHAMENTO DE IMPRESSÃO DOS MATERIAIS VISANDO A QUALIDADE DAS MARCAS - DESCONTO CONCEDIDO DE 50% </t>
    </r>
  </si>
  <si>
    <r>
      <t xml:space="preserve">Mesas e cadeiras - </t>
    </r>
    <r>
      <rPr>
        <i/>
        <sz val="16"/>
        <color rgb="FFFF0000"/>
        <rFont val="Trebuchet MS"/>
        <family val="2"/>
      </rPr>
      <t>Incluso no projeto*</t>
    </r>
  </si>
  <si>
    <r>
      <t>Carregadores adicionais</t>
    </r>
    <r>
      <rPr>
        <sz val="16"/>
        <color rgb="FFFF0000"/>
        <rFont val="Trebuchet MS"/>
        <family val="2"/>
      </rPr>
      <t xml:space="preserve"> (Cortesia)</t>
    </r>
  </si>
  <si>
    <r>
      <t xml:space="preserve">Estande de grande porte - De 100 a 199 m2
</t>
    </r>
    <r>
      <rPr>
        <b/>
        <sz val="14"/>
        <color theme="1"/>
        <rFont val="Trebuchet MS"/>
        <family val="2"/>
      </rPr>
      <t>Categorias:</t>
    </r>
    <r>
      <rPr>
        <sz val="14"/>
        <color theme="1"/>
        <rFont val="Trebuchet MS"/>
        <family val="2"/>
      </rPr>
      <t xml:space="preserve">
Melhor Conceito de Estande
Melhor Jornada Comercial no Estande (nova categoria)
Melhor Comunicação Visual (digital e impressa)
Melhor Visual Merchandising
Melhor Estande Sustentável
Melhor Estande Internacional (somente para expositores internacionais)
</t>
    </r>
    <r>
      <rPr>
        <b/>
        <sz val="14"/>
        <color theme="1"/>
        <rFont val="Trebuchet MS"/>
        <family val="2"/>
      </rPr>
      <t>R$ 450,00 por categoria inscrita
Inscrições até dia 04/05</t>
    </r>
  </si>
  <si>
    <r>
      <t xml:space="preserve">Vídeo produzido para led das testeiras, considerando transmissão em led convencional com alta qualidade.
Vídeos de até 30s (contemplando até </t>
    </r>
    <r>
      <rPr>
        <b/>
        <sz val="14"/>
        <color rgb="FFFF0000"/>
        <rFont val="Trebuchet MS"/>
        <family val="2"/>
      </rPr>
      <t>9 vídeos</t>
    </r>
    <r>
      <rPr>
        <sz val="14"/>
        <color theme="1"/>
        <rFont val="Trebuchet MS"/>
        <family val="2"/>
      </rPr>
      <t xml:space="preserve"> de embalagens dos produtos)
* Anamorfose 3D padrão (objetos 3D interagindo com a tela) 
* Entregue num vídeo só de até 5 minutos em Loop. 
* 1 conceito visual base (embalagens) e desdobramentos de BGs 
* Variações de cena (transição padrão entre um produto e outro )  
* Entrega em resolução para LED do estande 
* Integração com marca do cliente 
* Animações complexas como simulações de partículas, líquidos, fumaça, nuvens etc.) 
</t>
    </r>
    <r>
      <rPr>
        <b/>
        <sz val="14"/>
        <color rgb="FFFF0000"/>
        <rFont val="Trebuchet MS"/>
        <family val="2"/>
      </rPr>
      <t xml:space="preserve">* 1 revisão por vídeo </t>
    </r>
    <r>
      <rPr>
        <sz val="14"/>
        <color theme="1"/>
        <rFont val="Trebuchet MS"/>
        <family val="2"/>
      </rPr>
      <t xml:space="preserve">
</t>
    </r>
    <r>
      <rPr>
        <b/>
        <sz val="14"/>
        <color theme="1"/>
        <rFont val="Trebuchet MS"/>
        <family val="2"/>
      </rPr>
      <t xml:space="preserve">Material necessário do cliente para edição do vídeo: </t>
    </r>
    <r>
      <rPr>
        <sz val="14"/>
        <color theme="1"/>
        <rFont val="Trebuchet MS"/>
        <family val="2"/>
      </rPr>
      <t xml:space="preserve">
Logos em PSD ou AI, artes dos produtos, de preferência chapada, não aplicadas em fotos de embalagens para publicidade, fontes. -  </t>
    </r>
    <r>
      <rPr>
        <sz val="14"/>
        <color rgb="FFFF0000"/>
        <rFont val="Trebuchet MS"/>
        <family val="2"/>
      </rPr>
      <t>- Valor negociado para 9 vídeos</t>
    </r>
  </si>
  <si>
    <r>
      <t xml:space="preserve">Credencial branca destinada a equipe de montagem </t>
    </r>
    <r>
      <rPr>
        <b/>
        <sz val="14"/>
        <color theme="1"/>
        <rFont val="Trebuchet MS"/>
        <family val="2"/>
      </rPr>
      <t>- fazer levantamento</t>
    </r>
  </si>
  <si>
    <r>
      <t xml:space="preserve">Retirada de parede fundo do bar </t>
    </r>
    <r>
      <rPr>
        <sz val="16"/>
        <color rgb="FFFF0000"/>
        <rFont val="Trebuchet MS"/>
        <family val="2"/>
      </rPr>
      <t>(Valor negociado)</t>
    </r>
  </si>
  <si>
    <r>
      <t xml:space="preserve">Reforma de aparadores em L </t>
    </r>
    <r>
      <rPr>
        <sz val="16"/>
        <color rgb="FFED0000"/>
        <rFont val="Trebuchet MS"/>
        <family val="2"/>
      </rPr>
      <t>(Valor negociado)</t>
    </r>
  </si>
  <si>
    <r>
      <rPr>
        <b/>
        <sz val="16"/>
        <color theme="1"/>
        <rFont val="Trebuchet MS"/>
        <family val="2"/>
      </rPr>
      <t>Nova regra do pavilhão</t>
    </r>
    <r>
      <rPr>
        <sz val="16"/>
        <color theme="1"/>
        <rFont val="Trebuchet MS"/>
        <family val="2"/>
      </rPr>
      <t xml:space="preserve">
Obrigatório contratação de técnico de segurança para stands com mezanino</t>
    </r>
  </si>
  <si>
    <t>VÍDEO</t>
  </si>
  <si>
    <t>STUDIO ROCA</t>
  </si>
  <si>
    <t>VENDA</t>
  </si>
  <si>
    <t xml:space="preserve">CUSTO </t>
  </si>
  <si>
    <t>LUCRO</t>
  </si>
  <si>
    <t>NOTAS EMITIDAS</t>
  </si>
  <si>
    <t>PRODUÇÃO</t>
  </si>
  <si>
    <t>OP. EXTRAS ESTANDES</t>
  </si>
  <si>
    <t>EXTRAS 1</t>
  </si>
  <si>
    <t>EXTRAS 2</t>
  </si>
  <si>
    <t>EXTRA DPA</t>
  </si>
  <si>
    <t>NOME</t>
  </si>
  <si>
    <t>PETERSON ELIMIANO</t>
  </si>
  <si>
    <t>LUIZA FERNANDA</t>
  </si>
  <si>
    <t>CAROL IGLEZIAS</t>
  </si>
  <si>
    <t>ISABELA FERREIRA</t>
  </si>
  <si>
    <t>FERNANDA PINHEIRO</t>
  </si>
  <si>
    <t>PATRICK BAYEUX</t>
  </si>
  <si>
    <t>JAQUELINE BRUN</t>
  </si>
  <si>
    <t>JACIELLEN</t>
  </si>
  <si>
    <t>BRUNO MELO</t>
  </si>
  <si>
    <t>RONALDO TRIGUEIRO</t>
  </si>
  <si>
    <t>LAVANDERIA</t>
  </si>
  <si>
    <t>SOLUTION ESTRURURAS</t>
  </si>
  <si>
    <t>LARISSA MARTINS</t>
  </si>
  <si>
    <t>AS CASTING</t>
  </si>
  <si>
    <t>ROMILDA</t>
  </si>
  <si>
    <t>UP RECURSOS</t>
  </si>
  <si>
    <t>RENATA</t>
  </si>
  <si>
    <t>SSE SONSER</t>
  </si>
  <si>
    <t>APAS</t>
  </si>
  <si>
    <t>POPAI</t>
  </si>
  <si>
    <t>VINICIUS DE JESUS</t>
  </si>
  <si>
    <t>BARVAM</t>
  </si>
  <si>
    <t>SHIRLEI - LUIZA</t>
  </si>
  <si>
    <t>MW LED</t>
  </si>
  <si>
    <t xml:space="preserve">NIK COZINHAS </t>
  </si>
  <si>
    <t>CHUBB</t>
  </si>
  <si>
    <t>SK COPIADORA</t>
  </si>
  <si>
    <t xml:space="preserve">ROBSON VICTOR </t>
  </si>
  <si>
    <t>OPERADORA LEGAL X</t>
  </si>
  <si>
    <t>WANIO CARDOSO</t>
  </si>
  <si>
    <t>OPÇÕES DE ESTANDE</t>
  </si>
  <si>
    <t>MERCADO LIVRE</t>
  </si>
  <si>
    <t>TOZZINI</t>
  </si>
  <si>
    <t>CRIS SUONCO</t>
  </si>
  <si>
    <t>ANDRE DE SENA</t>
  </si>
  <si>
    <t>DA ORIKASSA</t>
  </si>
  <si>
    <t>EDUARDO KAZUO</t>
  </si>
  <si>
    <t xml:space="preserve">JANAINA </t>
  </si>
  <si>
    <t>MR LOCAÇÕES</t>
  </si>
  <si>
    <t>MC SERVIÇOS</t>
  </si>
  <si>
    <t xml:space="preserve">CAROL IGLEZIAS - MARILENE - FLAVIA MINA - MARCELO - NATALIA - WAGNER </t>
  </si>
  <si>
    <t>APAS - J A PROMOÇÕES</t>
  </si>
  <si>
    <t>GLOBAL AUDIO VISUAL</t>
  </si>
  <si>
    <t xml:space="preserve">ESTORNO CARTÃO </t>
  </si>
  <si>
    <t>NOTA DE DÉBITO 36</t>
  </si>
  <si>
    <t>NOTA DE DÉBITO 37</t>
  </si>
  <si>
    <t>NOTA DE DÉBITO 46</t>
  </si>
  <si>
    <t>NOTA FISCAL 2889</t>
  </si>
  <si>
    <t>NOTA FISCAL 2962</t>
  </si>
  <si>
    <t>NOTA FISCAL 2963</t>
  </si>
  <si>
    <t>NOTA FISCAL 2964</t>
  </si>
  <si>
    <t>NOTA FISCAL 2965</t>
  </si>
  <si>
    <t>SHIRLEI SALOMAO</t>
  </si>
  <si>
    <t xml:space="preserve">GABRIEL VITOR </t>
  </si>
  <si>
    <t>IMPOSTO</t>
  </si>
  <si>
    <t>CUSTO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</si>
</sst>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(&quot;R$&quot;* #,##0.00_);_(&quot;R$&quot;* \(#,##0.00\);_(&quot;R$&quot;* &quot;-&quot;??_);_(@_)"/>
    <numFmt numFmtId="168" formatCode="0.000000000%"/>
    <numFmt numFmtId="169" formatCode="_-&quot;R$&quot;* #,##0.00_-;\-&quot;R$&quot;* #,##0.00_-;_-&quot;R$&quot;* &quot;-&quot;??_-;_-@_-"/>
    <numFmt numFmtId="170" formatCode="0.0%"/>
    <numFmt numFmtId="171" formatCode="&quot;R$&quot;\ #,##0.00"/>
  </numFmts>
  <fonts count="7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rebuchet MS"/>
      <family val="2"/>
    </font>
    <font>
      <b/>
      <sz val="20"/>
      <name val="Trebuchet MS"/>
      <family val="2"/>
    </font>
    <font>
      <b/>
      <sz val="14"/>
      <name val="Trebuchet MS"/>
      <family val="2"/>
    </font>
    <font>
      <sz val="11"/>
      <name val="Verdana"/>
      <family val="2"/>
    </font>
    <font>
      <b/>
      <sz val="12"/>
      <color indexed="63"/>
      <name val="Trebuchet MS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sz val="10"/>
      <name val="Verdana"/>
      <family val="2"/>
    </font>
    <font>
      <b/>
      <sz val="12"/>
      <color theme="1"/>
      <name val="Trebuchet MS"/>
      <family val="2"/>
    </font>
    <font>
      <b/>
      <sz val="12"/>
      <color rgb="FFFF0000"/>
      <name val="Trebuchet MS"/>
      <family val="2"/>
    </font>
    <font>
      <b/>
      <sz val="12"/>
      <color rgb="FF00B050"/>
      <name val="Trebuchet MS"/>
      <family val="2"/>
    </font>
    <font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2"/>
      <color theme="1"/>
      <name val="Trebuchet MS"/>
      <family val="2"/>
    </font>
    <font>
      <b/>
      <sz val="14"/>
      <color theme="0"/>
      <name val="Trebuchet MS"/>
      <family val="2"/>
    </font>
    <font>
      <b/>
      <sz val="14"/>
      <color theme="1"/>
      <name val="Trebuchet MS"/>
      <family val="2"/>
    </font>
    <font>
      <sz val="12"/>
      <color rgb="FFFF0000"/>
      <name val="Trebuchet MS"/>
      <family val="2"/>
    </font>
    <font>
      <b/>
      <sz val="16"/>
      <color theme="0"/>
      <name val="Trebuchet MS"/>
      <family val="2"/>
    </font>
    <font>
      <b/>
      <sz val="12"/>
      <color theme="0"/>
      <name val="Trebuchet MS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ED0000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Trebuchet MS"/>
      <family val="2"/>
    </font>
    <font>
      <b/>
      <sz val="11"/>
      <color rgb="FFFF0000"/>
      <name val="Calibri"/>
      <family val="2"/>
      <scheme val="minor"/>
    </font>
    <font>
      <sz val="14"/>
      <color theme="4"/>
      <name val="Trebuchet MS"/>
      <family val="2"/>
    </font>
    <font>
      <sz val="14"/>
      <color theme="1"/>
      <name val="Trebuchet MS"/>
      <family val="2"/>
    </font>
    <font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indexed="63"/>
      <name val="Trebuchet MS"/>
      <family val="2"/>
    </font>
    <font>
      <sz val="14"/>
      <color theme="0"/>
      <name val="Calibri"/>
      <family val="2"/>
      <scheme val="minor"/>
    </font>
    <font>
      <b/>
      <sz val="14"/>
      <color rgb="FFFF0000"/>
      <name val="Trebuchet MS"/>
      <family val="2"/>
    </font>
    <font>
      <b/>
      <sz val="14"/>
      <color rgb="FF00B050"/>
      <name val="Trebuchet MS"/>
      <family val="2"/>
    </font>
    <font>
      <sz val="14"/>
      <name val="Trebuchet MS"/>
      <family val="2"/>
    </font>
    <font>
      <sz val="14"/>
      <color rgb="FFFF0000"/>
      <name val="Trebuchet MS"/>
      <family val="2"/>
    </font>
    <font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name val="Trebuchet MS"/>
      <family val="2"/>
    </font>
    <font>
      <b/>
      <sz val="16"/>
      <color theme="1"/>
      <name val="Calibri"/>
      <family val="2"/>
      <scheme val="minor"/>
    </font>
    <font>
      <b/>
      <sz val="16"/>
      <color indexed="63"/>
      <name val="Trebuchet MS"/>
      <family val="2"/>
    </font>
    <font>
      <sz val="16"/>
      <color theme="0"/>
      <name val="Calibri"/>
      <family val="2"/>
      <scheme val="minor"/>
    </font>
    <font>
      <b/>
      <sz val="16"/>
      <color theme="1"/>
      <name val="Trebuchet MS"/>
      <family val="2"/>
    </font>
    <font>
      <sz val="16"/>
      <color theme="1"/>
      <name val="Trebuchet MS"/>
      <family val="2"/>
    </font>
    <font>
      <b/>
      <sz val="16"/>
      <color rgb="FFFF0000"/>
      <name val="Trebuchet MS"/>
      <family val="2"/>
    </font>
    <font>
      <b/>
      <sz val="16"/>
      <color rgb="FF00B050"/>
      <name val="Trebuchet MS"/>
      <family val="2"/>
    </font>
    <font>
      <sz val="16"/>
      <name val="Trebuchet MS"/>
      <family val="2"/>
    </font>
    <font>
      <sz val="16"/>
      <color rgb="FFFF0000"/>
      <name val="Trebuchet MS"/>
      <family val="2"/>
    </font>
    <font>
      <sz val="16"/>
      <color theme="4"/>
      <name val="Trebuchet MS"/>
      <family val="2"/>
    </font>
    <font>
      <i/>
      <sz val="16"/>
      <color rgb="FFFF0000"/>
      <name val="Trebuchet MS"/>
      <family val="2"/>
    </font>
    <font>
      <sz val="16"/>
      <color rgb="FF0476D0"/>
      <name val="Trebuchet MS"/>
      <family val="2"/>
    </font>
    <font>
      <sz val="16"/>
      <color theme="5"/>
      <name val="Trebuchet MS"/>
      <family val="2"/>
    </font>
    <font>
      <b/>
      <sz val="16"/>
      <color rgb="FFFF000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sz val="14"/>
      <color theme="9"/>
      <name val="Trebuchet MS"/>
      <family val="2"/>
    </font>
    <font>
      <sz val="16"/>
      <color rgb="FFED0000"/>
      <name val="Trebuchet MS"/>
      <family val="2"/>
    </font>
    <font>
      <sz val="16"/>
      <color theme="9"/>
      <name val="Trebuchet MS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4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476D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97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9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7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12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9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783">
    <xf numFmtId="0" fontId="0" fillId="0" borderId="0" xfId="0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7" xfId="0" applyBorder="1"/>
    <xf numFmtId="0" fontId="0" fillId="0" borderId="18" xfId="0" applyBorder="1"/>
    <xf numFmtId="0" fontId="2" fillId="0" borderId="19" xfId="0" applyFont="1" applyBorder="1"/>
    <xf numFmtId="0" fontId="2" fillId="0" borderId="23" xfId="0" applyFont="1" applyBorder="1"/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6" xfId="0" applyFont="1" applyBorder="1"/>
    <xf numFmtId="0" fontId="2" fillId="0" borderId="26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" fillId="0" borderId="30" xfId="0" applyFont="1" applyBorder="1"/>
    <xf numFmtId="0" fontId="2" fillId="0" borderId="2" xfId="0" applyFont="1" applyBorder="1" applyAlignment="1">
      <alignment horizontal="left"/>
    </xf>
    <xf numFmtId="0" fontId="2" fillId="0" borderId="23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9" xfId="0" applyBorder="1"/>
    <xf numFmtId="0" fontId="0" fillId="0" borderId="0" xfId="0" applyAlignment="1">
      <alignment horizontal="right"/>
    </xf>
    <xf numFmtId="0" fontId="0" fillId="0" borderId="0" xfId="1" applyNumberFormat="1" applyFont="1"/>
    <xf numFmtId="0" fontId="13" fillId="0" borderId="0" xfId="0" applyFont="1"/>
    <xf numFmtId="165" fontId="8" fillId="6" borderId="36" xfId="4" applyFont="1" applyFill="1" applyBorder="1" applyAlignment="1">
      <alignment horizontal="center" vertical="center" wrapText="1"/>
    </xf>
    <xf numFmtId="168" fontId="2" fillId="0" borderId="5" xfId="1" applyNumberFormat="1" applyFont="1" applyBorder="1"/>
    <xf numFmtId="164" fontId="6" fillId="0" borderId="0" xfId="2" applyNumberFormat="1" applyFont="1" applyAlignment="1">
      <alignment horizontal="left" vertical="center"/>
    </xf>
    <xf numFmtId="166" fontId="8" fillId="0" borderId="38" xfId="4" applyNumberFormat="1" applyFont="1" applyBorder="1" applyAlignment="1">
      <alignment horizontal="center" vertical="center" wrapText="1"/>
    </xf>
    <xf numFmtId="0" fontId="14" fillId="8" borderId="40" xfId="0" applyFont="1" applyFill="1" applyBorder="1" applyAlignment="1">
      <alignment vertical="center"/>
    </xf>
    <xf numFmtId="0" fontId="16" fillId="8" borderId="40" xfId="0" applyFont="1" applyFill="1" applyBorder="1" applyAlignment="1">
      <alignment horizontal="center" vertical="center"/>
    </xf>
    <xf numFmtId="22" fontId="14" fillId="8" borderId="40" xfId="0" applyNumberFormat="1" applyFont="1" applyFill="1" applyBorder="1" applyAlignment="1">
      <alignment horizontal="center" vertical="center"/>
    </xf>
    <xf numFmtId="0" fontId="18" fillId="8" borderId="41" xfId="0" applyFont="1" applyFill="1" applyBorder="1" applyAlignment="1">
      <alignment horizontal="center" vertical="center" wrapText="1"/>
    </xf>
    <xf numFmtId="0" fontId="18" fillId="8" borderId="42" xfId="0" applyFont="1" applyFill="1" applyBorder="1" applyAlignment="1">
      <alignment horizontal="center" vertical="center" wrapText="1"/>
    </xf>
    <xf numFmtId="164" fontId="6" fillId="0" borderId="20" xfId="2" applyNumberFormat="1" applyFont="1" applyBorder="1" applyAlignment="1" applyProtection="1">
      <alignment horizontal="left" vertical="center"/>
      <protection locked="0"/>
    </xf>
    <xf numFmtId="164" fontId="6" fillId="0" borderId="31" xfId="2" applyNumberFormat="1" applyFont="1" applyBorder="1" applyAlignment="1" applyProtection="1">
      <alignment horizontal="left" vertical="center"/>
      <protection locked="0"/>
    </xf>
    <xf numFmtId="164" fontId="6" fillId="0" borderId="37" xfId="2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center"/>
    </xf>
    <xf numFmtId="10" fontId="8" fillId="6" borderId="46" xfId="5" applyNumberFormat="1" applyFont="1" applyFill="1" applyBorder="1" applyAlignment="1">
      <alignment horizontal="center" vertical="center" wrapText="1"/>
    </xf>
    <xf numFmtId="10" fontId="8" fillId="6" borderId="47" xfId="5" applyNumberFormat="1" applyFont="1" applyFill="1" applyBorder="1" applyAlignment="1">
      <alignment horizontal="center" vertical="center" wrapText="1"/>
    </xf>
    <xf numFmtId="165" fontId="8" fillId="6" borderId="47" xfId="4" applyFont="1" applyFill="1" applyBorder="1" applyAlignment="1">
      <alignment horizontal="center" vertical="center" wrapText="1"/>
    </xf>
    <xf numFmtId="37" fontId="8" fillId="6" borderId="3" xfId="3" applyNumberFormat="1" applyFont="1" applyFill="1" applyBorder="1" applyAlignment="1">
      <alignment horizontal="center" vertical="center"/>
    </xf>
    <xf numFmtId="40" fontId="8" fillId="6" borderId="49" xfId="4" applyNumberFormat="1" applyFont="1" applyFill="1" applyBorder="1" applyAlignment="1">
      <alignment horizontal="center" vertical="center"/>
    </xf>
    <xf numFmtId="166" fontId="21" fillId="6" borderId="50" xfId="4" applyNumberFormat="1" applyFont="1" applyFill="1" applyBorder="1" applyAlignment="1">
      <alignment horizontal="center" vertical="center" wrapText="1"/>
    </xf>
    <xf numFmtId="166" fontId="22" fillId="6" borderId="51" xfId="4" applyNumberFormat="1" applyFont="1" applyFill="1" applyBorder="1" applyAlignment="1">
      <alignment horizontal="center" vertical="center" wrapText="1"/>
    </xf>
    <xf numFmtId="164" fontId="6" fillId="0" borderId="19" xfId="2" applyNumberFormat="1" applyFont="1" applyBorder="1" applyAlignment="1" applyProtection="1">
      <alignment horizontal="left" vertical="center"/>
      <protection locked="0"/>
    </xf>
    <xf numFmtId="164" fontId="6" fillId="0" borderId="30" xfId="2" applyNumberFormat="1" applyFont="1" applyBorder="1" applyAlignment="1" applyProtection="1">
      <alignment horizontal="left" vertical="center"/>
      <protection locked="0"/>
    </xf>
    <xf numFmtId="0" fontId="6" fillId="0" borderId="23" xfId="2" applyFont="1" applyBorder="1" applyAlignment="1" applyProtection="1">
      <alignment horizontal="left" vertical="center"/>
      <protection locked="0"/>
    </xf>
    <xf numFmtId="0" fontId="6" fillId="0" borderId="26" xfId="2" applyFont="1" applyBorder="1" applyAlignment="1" applyProtection="1">
      <alignment horizontal="left" vertical="center"/>
      <protection locked="0"/>
    </xf>
    <xf numFmtId="0" fontId="4" fillId="6" borderId="52" xfId="3" applyFont="1" applyFill="1" applyBorder="1" applyAlignment="1">
      <alignment horizontal="left" vertical="center"/>
    </xf>
    <xf numFmtId="0" fontId="20" fillId="6" borderId="53" xfId="3" applyFont="1" applyFill="1" applyBorder="1" applyAlignment="1">
      <alignment horizontal="center" vertical="center"/>
    </xf>
    <xf numFmtId="169" fontId="20" fillId="6" borderId="53" xfId="3" applyNumberFormat="1" applyFont="1" applyFill="1" applyBorder="1" applyAlignment="1">
      <alignment horizontal="center" vertical="center" wrapText="1"/>
    </xf>
    <xf numFmtId="0" fontId="20" fillId="6" borderId="53" xfId="3" applyFont="1" applyFill="1" applyBorder="1" applyAlignment="1">
      <alignment horizontal="center" vertical="center" wrapText="1"/>
    </xf>
    <xf numFmtId="0" fontId="20" fillId="6" borderId="54" xfId="3" applyFont="1" applyFill="1" applyBorder="1" applyAlignment="1">
      <alignment horizontal="center" vertical="center" wrapText="1"/>
    </xf>
    <xf numFmtId="37" fontId="8" fillId="6" borderId="52" xfId="3" applyNumberFormat="1" applyFont="1" applyFill="1" applyBorder="1" applyAlignment="1">
      <alignment horizontal="center" vertical="center"/>
    </xf>
    <xf numFmtId="37" fontId="8" fillId="6" borderId="53" xfId="3" applyNumberFormat="1" applyFont="1" applyFill="1" applyBorder="1" applyAlignment="1">
      <alignment horizontal="center" vertical="center"/>
    </xf>
    <xf numFmtId="40" fontId="8" fillId="6" borderId="53" xfId="4" applyNumberFormat="1" applyFont="1" applyFill="1" applyBorder="1" applyAlignment="1">
      <alignment horizontal="center" vertical="center"/>
    </xf>
    <xf numFmtId="165" fontId="8" fillId="6" borderId="53" xfId="4" applyFont="1" applyFill="1" applyBorder="1" applyAlignment="1">
      <alignment horizontal="right" vertical="center"/>
    </xf>
    <xf numFmtId="40" fontId="8" fillId="6" borderId="53" xfId="4" applyNumberFormat="1" applyFont="1" applyFill="1" applyBorder="1" applyAlignment="1">
      <alignment horizontal="center" vertical="center" wrapText="1"/>
    </xf>
    <xf numFmtId="10" fontId="8" fillId="6" borderId="53" xfId="5" applyNumberFormat="1" applyFont="1" applyFill="1" applyBorder="1" applyAlignment="1">
      <alignment horizontal="center" vertical="center" wrapText="1"/>
    </xf>
    <xf numFmtId="165" fontId="8" fillId="6" borderId="53" xfId="4" applyFont="1" applyFill="1" applyBorder="1" applyAlignment="1">
      <alignment horizontal="center" vertical="center" wrapText="1"/>
    </xf>
    <xf numFmtId="165" fontId="8" fillId="6" borderId="54" xfId="4" applyFont="1" applyFill="1" applyBorder="1" applyAlignment="1">
      <alignment horizontal="center" vertical="center" wrapText="1"/>
    </xf>
    <xf numFmtId="14" fontId="6" fillId="0" borderId="30" xfId="2" applyNumberFormat="1" applyFont="1" applyBorder="1" applyAlignment="1" applyProtection="1">
      <alignment horizontal="left" vertical="center"/>
      <protection locked="0"/>
    </xf>
    <xf numFmtId="0" fontId="23" fillId="0" borderId="0" xfId="0" applyFont="1"/>
    <xf numFmtId="0" fontId="23" fillId="0" borderId="0" xfId="0" applyFont="1" applyAlignment="1">
      <alignment horizontal="center"/>
    </xf>
    <xf numFmtId="49" fontId="23" fillId="0" borderId="0" xfId="0" applyNumberFormat="1" applyFont="1"/>
    <xf numFmtId="49" fontId="24" fillId="0" borderId="0" xfId="2" applyNumberFormat="1" applyFont="1" applyAlignment="1">
      <alignment horizontal="left" vertical="center" wrapText="1"/>
    </xf>
    <xf numFmtId="0" fontId="24" fillId="0" borderId="0" xfId="2" applyFont="1" applyAlignment="1">
      <alignment horizontal="left" vertical="center" wrapText="1"/>
    </xf>
    <xf numFmtId="0" fontId="25" fillId="0" borderId="0" xfId="0" applyFont="1" applyAlignment="1">
      <alignment horizontal="center"/>
    </xf>
    <xf numFmtId="0" fontId="25" fillId="5" borderId="0" xfId="0" applyFont="1" applyFill="1"/>
    <xf numFmtId="49" fontId="25" fillId="5" borderId="0" xfId="0" applyNumberFormat="1" applyFont="1" applyFill="1"/>
    <xf numFmtId="0" fontId="23" fillId="0" borderId="43" xfId="0" applyFont="1" applyBorder="1" applyAlignment="1">
      <alignment horizontal="left" vertical="center"/>
    </xf>
    <xf numFmtId="49" fontId="23" fillId="0" borderId="44" xfId="0" applyNumberFormat="1" applyFont="1" applyBorder="1" applyAlignment="1">
      <alignment horizontal="left" vertical="center"/>
    </xf>
    <xf numFmtId="0" fontId="23" fillId="0" borderId="45" xfId="0" applyFont="1" applyBorder="1" applyAlignment="1">
      <alignment horizontal="left" vertical="center"/>
    </xf>
    <xf numFmtId="0" fontId="23" fillId="0" borderId="43" xfId="0" applyFont="1" applyBorder="1" applyAlignment="1">
      <alignment horizontal="left" vertical="center" wrapText="1"/>
    </xf>
    <xf numFmtId="0" fontId="26" fillId="0" borderId="43" xfId="0" applyFont="1" applyBorder="1" applyAlignment="1">
      <alignment horizontal="left" vertical="center" wrapText="1"/>
    </xf>
    <xf numFmtId="170" fontId="20" fillId="6" borderId="57" xfId="1" applyNumberFormat="1" applyFont="1" applyFill="1" applyBorder="1" applyAlignment="1">
      <alignment horizontal="center" vertical="center" wrapText="1"/>
    </xf>
    <xf numFmtId="10" fontId="20" fillId="6" borderId="57" xfId="1" applyNumberFormat="1" applyFont="1" applyFill="1" applyBorder="1" applyAlignment="1">
      <alignment horizontal="center" vertical="center" wrapText="1"/>
    </xf>
    <xf numFmtId="0" fontId="26" fillId="0" borderId="45" xfId="0" applyFont="1" applyBorder="1" applyAlignment="1">
      <alignment horizontal="left" vertical="center" wrapText="1"/>
    </xf>
    <xf numFmtId="49" fontId="26" fillId="0" borderId="44" xfId="0" applyNumberFormat="1" applyFont="1" applyBorder="1" applyAlignment="1">
      <alignment horizontal="left" vertical="center" wrapText="1"/>
    </xf>
    <xf numFmtId="0" fontId="2" fillId="12" borderId="58" xfId="0" applyFont="1" applyFill="1" applyBorder="1" applyAlignment="1">
      <alignment horizontal="center" vertical="center"/>
    </xf>
    <xf numFmtId="0" fontId="20" fillId="12" borderId="63" xfId="0" applyFont="1" applyFill="1" applyBorder="1" applyAlignment="1">
      <alignment horizontal="center" vertical="center"/>
    </xf>
    <xf numFmtId="0" fontId="20" fillId="12" borderId="57" xfId="0" applyFont="1" applyFill="1" applyBorder="1" applyAlignment="1">
      <alignment horizontal="center" vertical="center"/>
    </xf>
    <xf numFmtId="0" fontId="2" fillId="12" borderId="10" xfId="0" applyFont="1" applyFill="1" applyBorder="1" applyAlignment="1">
      <alignment horizontal="center" vertical="center"/>
    </xf>
    <xf numFmtId="44" fontId="26" fillId="0" borderId="58" xfId="8" applyFont="1" applyBorder="1" applyAlignment="1">
      <alignment vertical="center"/>
    </xf>
    <xf numFmtId="0" fontId="26" fillId="0" borderId="58" xfId="0" applyFont="1" applyBorder="1" applyAlignment="1">
      <alignment horizontal="left" vertical="center" wrapText="1"/>
    </xf>
    <xf numFmtId="44" fontId="26" fillId="13" borderId="7" xfId="8" applyFont="1" applyFill="1" applyBorder="1" applyAlignment="1">
      <alignment vertical="center"/>
    </xf>
    <xf numFmtId="9" fontId="26" fillId="14" borderId="7" xfId="1" applyFont="1" applyFill="1" applyBorder="1" applyAlignment="1">
      <alignment vertical="center"/>
    </xf>
    <xf numFmtId="44" fontId="26" fillId="14" borderId="7" xfId="8" applyFont="1" applyFill="1" applyBorder="1" applyAlignment="1">
      <alignment vertical="center"/>
    </xf>
    <xf numFmtId="44" fontId="26" fillId="15" borderId="7" xfId="8" applyFont="1" applyFill="1" applyBorder="1" applyAlignment="1">
      <alignment vertical="center"/>
    </xf>
    <xf numFmtId="44" fontId="26" fillId="0" borderId="74" xfId="8" applyFont="1" applyBorder="1" applyAlignment="1">
      <alignment vertical="center"/>
    </xf>
    <xf numFmtId="44" fontId="26" fillId="14" borderId="74" xfId="8" applyFont="1" applyFill="1" applyBorder="1" applyAlignment="1">
      <alignment vertical="center"/>
    </xf>
    <xf numFmtId="171" fontId="27" fillId="10" borderId="18" xfId="0" applyNumberFormat="1" applyFont="1" applyFill="1" applyBorder="1" applyAlignment="1">
      <alignment horizontal="right"/>
    </xf>
    <xf numFmtId="10" fontId="26" fillId="15" borderId="33" xfId="0" applyNumberFormat="1" applyFont="1" applyFill="1" applyBorder="1" applyAlignment="1">
      <alignment horizontal="center" vertical="center"/>
    </xf>
    <xf numFmtId="10" fontId="26" fillId="15" borderId="59" xfId="0" applyNumberFormat="1" applyFont="1" applyFill="1" applyBorder="1" applyAlignment="1">
      <alignment horizontal="center" vertical="center"/>
    </xf>
    <xf numFmtId="0" fontId="26" fillId="0" borderId="60" xfId="0" applyFont="1" applyBorder="1" applyAlignment="1">
      <alignment horizontal="left" vertical="center" wrapText="1"/>
    </xf>
    <xf numFmtId="0" fontId="26" fillId="0" borderId="58" xfId="0" applyFont="1" applyBorder="1" applyAlignment="1">
      <alignment horizontal="center" vertical="center"/>
    </xf>
    <xf numFmtId="49" fontId="26" fillId="0" borderId="70" xfId="0" applyNumberFormat="1" applyFont="1" applyBorder="1" applyAlignment="1">
      <alignment horizontal="left" vertical="center" wrapText="1"/>
    </xf>
    <xf numFmtId="0" fontId="20" fillId="12" borderId="75" xfId="0" applyFont="1" applyFill="1" applyBorder="1" applyAlignment="1">
      <alignment horizontal="center" vertical="center"/>
    </xf>
    <xf numFmtId="171" fontId="27" fillId="10" borderId="0" xfId="0" applyNumberFormat="1" applyFont="1" applyFill="1" applyAlignment="1">
      <alignment horizontal="right"/>
    </xf>
    <xf numFmtId="44" fontId="27" fillId="10" borderId="0" xfId="0" applyNumberFormat="1" applyFont="1" applyFill="1" applyAlignment="1">
      <alignment horizontal="right"/>
    </xf>
    <xf numFmtId="44" fontId="28" fillId="15" borderId="0" xfId="0" applyNumberFormat="1" applyFont="1" applyFill="1"/>
    <xf numFmtId="44" fontId="28" fillId="14" borderId="0" xfId="0" applyNumberFormat="1" applyFont="1" applyFill="1"/>
    <xf numFmtId="44" fontId="28" fillId="14" borderId="18" xfId="8" applyFont="1" applyFill="1" applyBorder="1"/>
    <xf numFmtId="1" fontId="26" fillId="13" borderId="73" xfId="0" applyNumberFormat="1" applyFont="1" applyFill="1" applyBorder="1" applyAlignment="1">
      <alignment horizontal="center" vertical="center"/>
    </xf>
    <xf numFmtId="1" fontId="26" fillId="13" borderId="7" xfId="0" applyNumberFormat="1" applyFont="1" applyFill="1" applyBorder="1" applyAlignment="1">
      <alignment horizontal="center" vertical="center"/>
    </xf>
    <xf numFmtId="44" fontId="0" fillId="0" borderId="0" xfId="0" applyNumberFormat="1"/>
    <xf numFmtId="0" fontId="2" fillId="0" borderId="52" xfId="0" applyFont="1" applyBorder="1" applyAlignment="1">
      <alignment horizontal="left" vertical="center"/>
    </xf>
    <xf numFmtId="44" fontId="0" fillId="11" borderId="53" xfId="8" applyFont="1" applyFill="1" applyBorder="1" applyAlignment="1">
      <alignment horizontal="right" vertical="center"/>
    </xf>
    <xf numFmtId="44" fontId="34" fillId="19" borderId="74" xfId="8" applyFont="1" applyFill="1" applyBorder="1" applyAlignment="1">
      <alignment horizontal="center" vertical="center"/>
    </xf>
    <xf numFmtId="0" fontId="2" fillId="0" borderId="66" xfId="0" applyFont="1" applyBorder="1" applyAlignment="1">
      <alignment horizontal="left" vertical="center"/>
    </xf>
    <xf numFmtId="44" fontId="0" fillId="11" borderId="67" xfId="8" applyFont="1" applyFill="1" applyBorder="1" applyAlignment="1">
      <alignment horizontal="right" vertical="center"/>
    </xf>
    <xf numFmtId="171" fontId="35" fillId="11" borderId="0" xfId="0" applyNumberFormat="1" applyFont="1" applyFill="1"/>
    <xf numFmtId="0" fontId="0" fillId="11" borderId="0" xfId="0" applyFill="1"/>
    <xf numFmtId="171" fontId="35" fillId="0" borderId="0" xfId="0" applyNumberFormat="1" applyFont="1" applyAlignment="1">
      <alignment horizontal="center" vertical="center"/>
    </xf>
    <xf numFmtId="171" fontId="35" fillId="11" borderId="0" xfId="0" applyNumberFormat="1" applyFont="1" applyFill="1" applyAlignment="1">
      <alignment horizontal="center" vertical="center"/>
    </xf>
    <xf numFmtId="164" fontId="6" fillId="0" borderId="0" xfId="2" applyNumberFormat="1" applyFont="1" applyAlignment="1">
      <alignment horizontal="left" vertical="center" wrapText="1"/>
    </xf>
    <xf numFmtId="164" fontId="6" fillId="0" borderId="19" xfId="2" applyNumberFormat="1" applyFont="1" applyBorder="1" applyAlignment="1" applyProtection="1">
      <alignment horizontal="left" vertical="center" wrapText="1"/>
      <protection locked="0"/>
    </xf>
    <xf numFmtId="164" fontId="6" fillId="0" borderId="30" xfId="2" applyNumberFormat="1" applyFont="1" applyBorder="1" applyAlignment="1" applyProtection="1">
      <alignment horizontal="left" vertical="center" wrapText="1"/>
      <protection locked="0"/>
    </xf>
    <xf numFmtId="0" fontId="6" fillId="0" borderId="23" xfId="2" applyFont="1" applyBorder="1" applyAlignment="1" applyProtection="1">
      <alignment horizontal="left" vertical="center" wrapText="1"/>
      <protection locked="0"/>
    </xf>
    <xf numFmtId="14" fontId="6" fillId="0" borderId="30" xfId="2" applyNumberFormat="1" applyFont="1" applyBorder="1" applyAlignment="1" applyProtection="1">
      <alignment horizontal="left" vertical="center" wrapText="1"/>
      <protection locked="0"/>
    </xf>
    <xf numFmtId="0" fontId="6" fillId="0" borderId="26" xfId="2" applyFont="1" applyBorder="1" applyAlignment="1" applyProtection="1">
      <alignment horizontal="left" vertical="center" wrapText="1"/>
      <protection locked="0"/>
    </xf>
    <xf numFmtId="0" fontId="0" fillId="0" borderId="0" xfId="0" applyAlignment="1">
      <alignment wrapText="1"/>
    </xf>
    <xf numFmtId="0" fontId="4" fillId="6" borderId="53" xfId="3" applyFont="1" applyFill="1" applyBorder="1" applyAlignment="1">
      <alignment horizontal="center" vertical="center" wrapText="1"/>
    </xf>
    <xf numFmtId="0" fontId="32" fillId="18" borderId="50" xfId="0" applyFont="1" applyFill="1" applyBorder="1" applyAlignment="1">
      <alignment horizontal="left" vertical="center"/>
    </xf>
    <xf numFmtId="44" fontId="32" fillId="18" borderId="59" xfId="8" applyFont="1" applyFill="1" applyBorder="1" applyAlignment="1">
      <alignment horizontal="right" vertical="center"/>
    </xf>
    <xf numFmtId="44" fontId="32" fillId="18" borderId="51" xfId="8" applyFont="1" applyFill="1" applyBorder="1" applyAlignment="1">
      <alignment horizontal="right" vertical="center"/>
    </xf>
    <xf numFmtId="9" fontId="33" fillId="0" borderId="0" xfId="1" applyFont="1" applyBorder="1" applyAlignment="1">
      <alignment horizontal="center" vertical="center"/>
    </xf>
    <xf numFmtId="164" fontId="6" fillId="0" borderId="58" xfId="2" applyNumberFormat="1" applyFont="1" applyBorder="1" applyAlignment="1" applyProtection="1">
      <alignment horizontal="left" vertical="center"/>
      <protection locked="0"/>
    </xf>
    <xf numFmtId="9" fontId="33" fillId="11" borderId="0" xfId="1" applyFont="1" applyFill="1" applyBorder="1" applyAlignment="1">
      <alignment horizontal="center" vertical="center"/>
    </xf>
    <xf numFmtId="0" fontId="2" fillId="20" borderId="0" xfId="0" applyFont="1" applyFill="1" applyAlignment="1">
      <alignment horizontal="left"/>
    </xf>
    <xf numFmtId="0" fontId="0" fillId="20" borderId="0" xfId="0" applyFill="1" applyAlignment="1">
      <alignment horizontal="center"/>
    </xf>
    <xf numFmtId="0" fontId="0" fillId="20" borderId="0" xfId="0" applyFill="1"/>
    <xf numFmtId="0" fontId="30" fillId="17" borderId="11" xfId="0" applyFont="1" applyFill="1" applyBorder="1"/>
    <xf numFmtId="0" fontId="30" fillId="17" borderId="12" xfId="0" applyFont="1" applyFill="1" applyBorder="1" applyAlignment="1">
      <alignment wrapText="1"/>
    </xf>
    <xf numFmtId="0" fontId="30" fillId="17" borderId="12" xfId="0" applyFont="1" applyFill="1" applyBorder="1" applyAlignment="1">
      <alignment horizontal="center"/>
    </xf>
    <xf numFmtId="0" fontId="30" fillId="17" borderId="12" xfId="0" applyFont="1" applyFill="1" applyBorder="1"/>
    <xf numFmtId="44" fontId="30" fillId="17" borderId="12" xfId="0" applyNumberFormat="1" applyFont="1" applyFill="1" applyBorder="1"/>
    <xf numFmtId="44" fontId="30" fillId="17" borderId="75" xfId="0" applyNumberFormat="1" applyFont="1" applyFill="1" applyBorder="1"/>
    <xf numFmtId="0" fontId="30" fillId="17" borderId="11" xfId="0" applyFont="1" applyFill="1" applyBorder="1" applyAlignment="1">
      <alignment horizontal="center"/>
    </xf>
    <xf numFmtId="0" fontId="32" fillId="11" borderId="0" xfId="0" applyFont="1" applyFill="1" applyAlignment="1">
      <alignment horizontal="left" vertical="center"/>
    </xf>
    <xf numFmtId="44" fontId="32" fillId="11" borderId="0" xfId="8" applyFont="1" applyFill="1" applyBorder="1" applyAlignment="1">
      <alignment horizontal="right" vertical="center"/>
    </xf>
    <xf numFmtId="0" fontId="0" fillId="21" borderId="0" xfId="0" applyFill="1" applyAlignment="1">
      <alignment horizontal="center" vertical="center"/>
    </xf>
    <xf numFmtId="44" fontId="28" fillId="14" borderId="0" xfId="8" applyFont="1" applyFill="1" applyBorder="1"/>
    <xf numFmtId="0" fontId="30" fillId="17" borderId="6" xfId="0" applyFont="1" applyFill="1" applyBorder="1"/>
    <xf numFmtId="0" fontId="30" fillId="17" borderId="35" xfId="0" applyFont="1" applyFill="1" applyBorder="1"/>
    <xf numFmtId="0" fontId="30" fillId="17" borderId="35" xfId="0" applyFont="1" applyFill="1" applyBorder="1" applyAlignment="1">
      <alignment horizontal="center"/>
    </xf>
    <xf numFmtId="44" fontId="30" fillId="17" borderId="35" xfId="0" applyNumberFormat="1" applyFont="1" applyFill="1" applyBorder="1"/>
    <xf numFmtId="0" fontId="30" fillId="17" borderId="6" xfId="0" applyFont="1" applyFill="1" applyBorder="1" applyAlignment="1">
      <alignment horizontal="center"/>
    </xf>
    <xf numFmtId="44" fontId="30" fillId="17" borderId="88" xfId="0" applyNumberFormat="1" applyFont="1" applyFill="1" applyBorder="1"/>
    <xf numFmtId="9" fontId="30" fillId="17" borderId="14" xfId="1" applyFont="1" applyFill="1" applyBorder="1"/>
    <xf numFmtId="44" fontId="30" fillId="17" borderId="90" xfId="8" applyFont="1" applyFill="1" applyBorder="1"/>
    <xf numFmtId="0" fontId="32" fillId="23" borderId="60" xfId="0" applyFont="1" applyFill="1" applyBorder="1" applyAlignment="1">
      <alignment horizontal="left" vertical="center"/>
    </xf>
    <xf numFmtId="44" fontId="32" fillId="23" borderId="58" xfId="8" applyFont="1" applyFill="1" applyBorder="1" applyAlignment="1">
      <alignment horizontal="right" vertical="center"/>
    </xf>
    <xf numFmtId="0" fontId="26" fillId="0" borderId="0" xfId="0" applyFont="1"/>
    <xf numFmtId="0" fontId="26" fillId="0" borderId="0" xfId="0" applyFont="1" applyAlignment="1">
      <alignment horizontal="center"/>
    </xf>
    <xf numFmtId="0" fontId="26" fillId="0" borderId="0" xfId="0" applyFont="1" applyAlignment="1">
      <alignment wrapText="1"/>
    </xf>
    <xf numFmtId="44" fontId="26" fillId="0" borderId="58" xfId="0" applyNumberFormat="1" applyFont="1" applyBorder="1" applyAlignment="1">
      <alignment horizontal="center" vertical="center"/>
    </xf>
    <xf numFmtId="44" fontId="31" fillId="18" borderId="58" xfId="0" applyNumberFormat="1" applyFont="1" applyFill="1" applyBorder="1" applyAlignment="1">
      <alignment horizontal="center" vertical="center"/>
    </xf>
    <xf numFmtId="0" fontId="26" fillId="26" borderId="58" xfId="0" applyFont="1" applyFill="1" applyBorder="1" applyAlignment="1">
      <alignment horizontal="left" vertical="center" wrapText="1"/>
    </xf>
    <xf numFmtId="0" fontId="26" fillId="13" borderId="58" xfId="0" applyFont="1" applyFill="1" applyBorder="1" applyAlignment="1">
      <alignment horizontal="left" vertical="center" wrapText="1"/>
    </xf>
    <xf numFmtId="44" fontId="26" fillId="0" borderId="58" xfId="18" applyNumberFormat="1" applyFont="1" applyBorder="1" applyAlignment="1">
      <alignment horizontal="center" vertical="center"/>
    </xf>
    <xf numFmtId="0" fontId="26" fillId="20" borderId="58" xfId="0" applyFont="1" applyFill="1" applyBorder="1" applyAlignment="1">
      <alignment horizontal="center" vertical="center"/>
    </xf>
    <xf numFmtId="44" fontId="26" fillId="0" borderId="58" xfId="0" applyNumberFormat="1" applyFont="1" applyBorder="1" applyAlignment="1">
      <alignment horizontal="center" vertical="center" wrapText="1"/>
    </xf>
    <xf numFmtId="44" fontId="29" fillId="26" borderId="58" xfId="0" applyNumberFormat="1" applyFont="1" applyFill="1" applyBorder="1" applyAlignment="1">
      <alignment horizontal="center" vertical="center" wrapText="1"/>
    </xf>
    <xf numFmtId="44" fontId="26" fillId="26" borderId="58" xfId="0" applyNumberFormat="1" applyFont="1" applyFill="1" applyBorder="1" applyAlignment="1">
      <alignment horizontal="center" vertical="center" wrapText="1"/>
    </xf>
    <xf numFmtId="44" fontId="26" fillId="13" borderId="58" xfId="0" applyNumberFormat="1" applyFont="1" applyFill="1" applyBorder="1" applyAlignment="1">
      <alignment horizontal="center" vertical="center" wrapText="1"/>
    </xf>
    <xf numFmtId="44" fontId="26" fillId="29" borderId="58" xfId="0" applyNumberFormat="1" applyFont="1" applyFill="1" applyBorder="1" applyAlignment="1">
      <alignment horizontal="center" vertical="center" wrapText="1"/>
    </xf>
    <xf numFmtId="0" fontId="26" fillId="29" borderId="58" xfId="0" applyFont="1" applyFill="1" applyBorder="1" applyAlignment="1">
      <alignment horizontal="left" vertical="center" wrapText="1"/>
    </xf>
    <xf numFmtId="44" fontId="31" fillId="18" borderId="58" xfId="0" applyNumberFormat="1" applyFont="1" applyFill="1" applyBorder="1" applyAlignment="1">
      <alignment horizontal="center" vertical="center" wrapText="1"/>
    </xf>
    <xf numFmtId="44" fontId="37" fillId="18" borderId="58" xfId="0" applyNumberFormat="1" applyFont="1" applyFill="1" applyBorder="1" applyAlignment="1">
      <alignment horizontal="left" vertical="center" wrapText="1"/>
    </xf>
    <xf numFmtId="44" fontId="29" fillId="11" borderId="58" xfId="0" applyNumberFormat="1" applyFont="1" applyFill="1" applyBorder="1" applyAlignment="1">
      <alignment horizontal="center" vertical="center" wrapText="1"/>
    </xf>
    <xf numFmtId="0" fontId="29" fillId="0" borderId="58" xfId="0" applyFont="1" applyBorder="1" applyAlignment="1">
      <alignment horizontal="left" vertical="center" wrapText="1"/>
    </xf>
    <xf numFmtId="0" fontId="31" fillId="18" borderId="58" xfId="0" applyFont="1" applyFill="1" applyBorder="1" applyAlignment="1">
      <alignment wrapText="1"/>
    </xf>
    <xf numFmtId="44" fontId="26" fillId="0" borderId="0" xfId="0" applyNumberFormat="1" applyFont="1"/>
    <xf numFmtId="0" fontId="2" fillId="0" borderId="58" xfId="0" applyFont="1" applyBorder="1" applyAlignment="1">
      <alignment horizontal="left" vertical="center"/>
    </xf>
    <xf numFmtId="44" fontId="0" fillId="11" borderId="58" xfId="8" applyFont="1" applyFill="1" applyBorder="1" applyAlignment="1">
      <alignment horizontal="right" vertical="center"/>
    </xf>
    <xf numFmtId="44" fontId="34" fillId="19" borderId="58" xfId="8" applyFont="1" applyFill="1" applyBorder="1" applyAlignment="1">
      <alignment horizontal="center" vertical="center"/>
    </xf>
    <xf numFmtId="44" fontId="34" fillId="19" borderId="81" xfId="8" applyFont="1" applyFill="1" applyBorder="1" applyAlignment="1">
      <alignment horizontal="center" vertical="center"/>
    </xf>
    <xf numFmtId="0" fontId="2" fillId="0" borderId="60" xfId="0" applyFont="1" applyBorder="1" applyAlignment="1">
      <alignment horizontal="left" vertical="center"/>
    </xf>
    <xf numFmtId="0" fontId="21" fillId="16" borderId="0" xfId="0" applyFont="1" applyFill="1" applyAlignment="1">
      <alignment horizontal="center" vertical="center" wrapText="1"/>
    </xf>
    <xf numFmtId="44" fontId="39" fillId="0" borderId="0" xfId="0" applyNumberFormat="1" applyFont="1" applyAlignment="1">
      <alignment vertical="center"/>
    </xf>
    <xf numFmtId="0" fontId="40" fillId="0" borderId="0" xfId="0" applyFont="1" applyAlignment="1">
      <alignment horizontal="center" vertical="center"/>
    </xf>
    <xf numFmtId="44" fontId="27" fillId="18" borderId="0" xfId="0" applyNumberFormat="1" applyFont="1" applyFill="1" applyAlignment="1">
      <alignment horizontal="center" vertical="center"/>
    </xf>
    <xf numFmtId="0" fontId="27" fillId="18" borderId="0" xfId="0" applyFont="1" applyFill="1" applyAlignment="1">
      <alignment horizontal="center" vertical="center"/>
    </xf>
    <xf numFmtId="44" fontId="27" fillId="22" borderId="0" xfId="0" applyNumberFormat="1" applyFont="1" applyFill="1" applyAlignment="1">
      <alignment horizontal="center" vertical="center"/>
    </xf>
    <xf numFmtId="0" fontId="27" fillId="22" borderId="0" xfId="0" applyFont="1" applyFill="1" applyAlignment="1">
      <alignment horizontal="center" vertical="center"/>
    </xf>
    <xf numFmtId="44" fontId="28" fillId="16" borderId="0" xfId="0" applyNumberFormat="1" applyFont="1" applyFill="1"/>
    <xf numFmtId="0" fontId="28" fillId="16" borderId="0" xfId="0" applyFont="1" applyFill="1" applyAlignment="1">
      <alignment horizontal="center" vertical="center"/>
    </xf>
    <xf numFmtId="44" fontId="26" fillId="30" borderId="58" xfId="0" applyNumberFormat="1" applyFont="1" applyFill="1" applyBorder="1" applyAlignment="1">
      <alignment horizontal="center" vertical="center" wrapText="1"/>
    </xf>
    <xf numFmtId="0" fontId="26" fillId="30" borderId="58" xfId="0" applyFont="1" applyFill="1" applyBorder="1" applyAlignment="1">
      <alignment horizontal="left" vertical="center" wrapText="1"/>
    </xf>
    <xf numFmtId="0" fontId="2" fillId="16" borderId="60" xfId="0" applyFont="1" applyFill="1" applyBorder="1" applyAlignment="1">
      <alignment vertical="center"/>
    </xf>
    <xf numFmtId="44" fontId="2" fillId="16" borderId="74" xfId="0" applyNumberFormat="1" applyFont="1" applyFill="1" applyBorder="1" applyAlignment="1">
      <alignment vertical="center"/>
    </xf>
    <xf numFmtId="44" fontId="38" fillId="32" borderId="58" xfId="0" applyNumberFormat="1" applyFont="1" applyFill="1" applyBorder="1" applyAlignment="1">
      <alignment wrapText="1"/>
    </xf>
    <xf numFmtId="0" fontId="38" fillId="11" borderId="0" xfId="0" applyFont="1" applyFill="1" applyAlignment="1">
      <alignment vertical="center" wrapText="1"/>
    </xf>
    <xf numFmtId="44" fontId="21" fillId="32" borderId="58" xfId="0" applyNumberFormat="1" applyFont="1" applyFill="1" applyBorder="1" applyAlignment="1">
      <alignment horizontal="center" vertical="center"/>
    </xf>
    <xf numFmtId="0" fontId="26" fillId="0" borderId="58" xfId="0" applyFont="1" applyBorder="1"/>
    <xf numFmtId="0" fontId="31" fillId="18" borderId="0" xfId="0" applyFont="1" applyFill="1"/>
    <xf numFmtId="44" fontId="21" fillId="16" borderId="0" xfId="0" applyNumberFormat="1" applyFont="1" applyFill="1" applyAlignment="1">
      <alignment horizontal="center" vertical="center"/>
    </xf>
    <xf numFmtId="44" fontId="31" fillId="18" borderId="0" xfId="0" applyNumberFormat="1" applyFont="1" applyFill="1" applyAlignment="1">
      <alignment horizontal="center" vertical="center"/>
    </xf>
    <xf numFmtId="0" fontId="31" fillId="18" borderId="0" xfId="0" applyFont="1" applyFill="1" applyAlignment="1">
      <alignment horizontal="center" vertical="center"/>
    </xf>
    <xf numFmtId="44" fontId="26" fillId="32" borderId="0" xfId="0" applyNumberFormat="1" applyFont="1" applyFill="1"/>
    <xf numFmtId="44" fontId="21" fillId="0" borderId="0" xfId="0" applyNumberFormat="1" applyFont="1" applyAlignment="1">
      <alignment vertical="center"/>
    </xf>
    <xf numFmtId="164" fontId="4" fillId="0" borderId="20" xfId="2" applyNumberFormat="1" applyFont="1" applyBorder="1" applyAlignment="1" applyProtection="1">
      <alignment horizontal="left" vertical="center"/>
      <protection locked="0"/>
    </xf>
    <xf numFmtId="164" fontId="4" fillId="0" borderId="19" xfId="2" applyNumberFormat="1" applyFont="1" applyBorder="1" applyAlignment="1" applyProtection="1">
      <alignment horizontal="left" vertical="center" wrapText="1"/>
      <protection locked="0"/>
    </xf>
    <xf numFmtId="164" fontId="4" fillId="0" borderId="31" xfId="2" applyNumberFormat="1" applyFont="1" applyBorder="1" applyAlignment="1" applyProtection="1">
      <alignment horizontal="left" vertical="center"/>
      <protection locked="0"/>
    </xf>
    <xf numFmtId="164" fontId="4" fillId="0" borderId="30" xfId="2" applyNumberFormat="1" applyFont="1" applyBorder="1" applyAlignment="1" applyProtection="1">
      <alignment horizontal="left" vertical="center" wrapText="1"/>
      <protection locked="0"/>
    </xf>
    <xf numFmtId="0" fontId="4" fillId="0" borderId="23" xfId="2" applyFont="1" applyBorder="1" applyAlignment="1" applyProtection="1">
      <alignment horizontal="left" vertical="center" wrapText="1"/>
      <protection locked="0"/>
    </xf>
    <xf numFmtId="14" fontId="4" fillId="0" borderId="30" xfId="2" applyNumberFormat="1" applyFont="1" applyBorder="1" applyAlignment="1" applyProtection="1">
      <alignment horizontal="left" vertical="center" wrapText="1"/>
      <protection locked="0"/>
    </xf>
    <xf numFmtId="164" fontId="4" fillId="0" borderId="37" xfId="2" applyNumberFormat="1" applyFont="1" applyBorder="1" applyAlignment="1" applyProtection="1">
      <alignment horizontal="left" vertical="center"/>
      <protection locked="0"/>
    </xf>
    <xf numFmtId="0" fontId="4" fillId="0" borderId="26" xfId="2" applyFont="1" applyBorder="1" applyAlignment="1" applyProtection="1">
      <alignment horizontal="left" vertical="center" wrapText="1"/>
      <protection locked="0"/>
    </xf>
    <xf numFmtId="0" fontId="41" fillId="0" borderId="0" xfId="0" applyFont="1"/>
    <xf numFmtId="49" fontId="42" fillId="0" borderId="0" xfId="2" applyNumberFormat="1" applyFont="1" applyAlignment="1">
      <alignment horizontal="left" vertical="center" wrapText="1"/>
    </xf>
    <xf numFmtId="0" fontId="42" fillId="0" borderId="0" xfId="2" applyFont="1" applyAlignment="1">
      <alignment horizontal="left" vertical="center" wrapText="1"/>
    </xf>
    <xf numFmtId="0" fontId="41" fillId="0" borderId="0" xfId="0" applyFont="1" applyAlignment="1">
      <alignment horizontal="center"/>
    </xf>
    <xf numFmtId="0" fontId="43" fillId="0" borderId="0" xfId="0" applyFont="1"/>
    <xf numFmtId="0" fontId="43" fillId="0" borderId="0" xfId="0" applyFont="1" applyAlignment="1">
      <alignment horizontal="center"/>
    </xf>
    <xf numFmtId="49" fontId="41" fillId="0" borderId="0" xfId="0" applyNumberFormat="1" applyFont="1"/>
    <xf numFmtId="0" fontId="41" fillId="0" borderId="0" xfId="1" applyNumberFormat="1" applyFont="1"/>
    <xf numFmtId="165" fontId="44" fillId="6" borderId="36" xfId="4" applyFont="1" applyFill="1" applyBorder="1" applyAlignment="1">
      <alignment horizontal="center" vertical="center" wrapText="1"/>
    </xf>
    <xf numFmtId="168" fontId="43" fillId="0" borderId="5" xfId="1" applyNumberFormat="1" applyFont="1" applyBorder="1"/>
    <xf numFmtId="166" fontId="44" fillId="0" borderId="38" xfId="4" applyNumberFormat="1" applyFont="1" applyBorder="1" applyAlignment="1">
      <alignment horizontal="center" vertical="center" wrapText="1"/>
    </xf>
    <xf numFmtId="0" fontId="43" fillId="5" borderId="0" xfId="0" applyFont="1" applyFill="1"/>
    <xf numFmtId="49" fontId="43" fillId="5" borderId="0" xfId="0" applyNumberFormat="1" applyFont="1" applyFill="1"/>
    <xf numFmtId="0" fontId="45" fillId="0" borderId="0" xfId="0" applyFont="1"/>
    <xf numFmtId="0" fontId="41" fillId="0" borderId="43" xfId="0" applyFont="1" applyBorder="1" applyAlignment="1">
      <alignment horizontal="left" vertical="center"/>
    </xf>
    <xf numFmtId="49" fontId="41" fillId="0" borderId="44" xfId="0" applyNumberFormat="1" applyFont="1" applyBorder="1" applyAlignment="1">
      <alignment horizontal="left" vertical="center"/>
    </xf>
    <xf numFmtId="0" fontId="41" fillId="0" borderId="45" xfId="0" applyFont="1" applyBorder="1" applyAlignment="1">
      <alignment horizontal="left" vertical="center"/>
    </xf>
    <xf numFmtId="0" fontId="41" fillId="0" borderId="43" xfId="0" applyFont="1" applyBorder="1" applyAlignment="1">
      <alignment horizontal="left" vertical="center" wrapText="1"/>
    </xf>
    <xf numFmtId="0" fontId="6" fillId="6" borderId="52" xfId="3" applyFont="1" applyFill="1" applyBorder="1" applyAlignment="1">
      <alignment horizontal="left" vertical="center"/>
    </xf>
    <xf numFmtId="0" fontId="28" fillId="6" borderId="53" xfId="3" applyFont="1" applyFill="1" applyBorder="1" applyAlignment="1">
      <alignment horizontal="center" vertical="center"/>
    </xf>
    <xf numFmtId="169" fontId="28" fillId="6" borderId="53" xfId="3" applyNumberFormat="1" applyFont="1" applyFill="1" applyBorder="1" applyAlignment="1">
      <alignment horizontal="center" vertical="center" wrapText="1"/>
    </xf>
    <xf numFmtId="0" fontId="28" fillId="6" borderId="53" xfId="3" applyFont="1" applyFill="1" applyBorder="1" applyAlignment="1">
      <alignment horizontal="center" vertical="center" wrapText="1"/>
    </xf>
    <xf numFmtId="170" fontId="28" fillId="6" borderId="57" xfId="1" applyNumberFormat="1" applyFont="1" applyFill="1" applyBorder="1" applyAlignment="1">
      <alignment horizontal="center" vertical="center" wrapText="1"/>
    </xf>
    <xf numFmtId="10" fontId="28" fillId="6" borderId="57" xfId="1" applyNumberFormat="1" applyFont="1" applyFill="1" applyBorder="1" applyAlignment="1">
      <alignment horizontal="center" vertical="center" wrapText="1"/>
    </xf>
    <xf numFmtId="0" fontId="28" fillId="6" borderId="54" xfId="3" applyFont="1" applyFill="1" applyBorder="1" applyAlignment="1">
      <alignment horizontal="center" vertical="center" wrapText="1"/>
    </xf>
    <xf numFmtId="37" fontId="44" fillId="6" borderId="52" xfId="3" applyNumberFormat="1" applyFont="1" applyFill="1" applyBorder="1" applyAlignment="1">
      <alignment horizontal="center" vertical="center"/>
    </xf>
    <xf numFmtId="37" fontId="44" fillId="6" borderId="53" xfId="3" applyNumberFormat="1" applyFont="1" applyFill="1" applyBorder="1" applyAlignment="1">
      <alignment horizontal="center" vertical="center"/>
    </xf>
    <xf numFmtId="40" fontId="44" fillId="6" borderId="53" xfId="4" applyNumberFormat="1" applyFont="1" applyFill="1" applyBorder="1" applyAlignment="1">
      <alignment horizontal="center" vertical="center"/>
    </xf>
    <xf numFmtId="165" fontId="44" fillId="6" borderId="53" xfId="4" applyFont="1" applyFill="1" applyBorder="1" applyAlignment="1">
      <alignment horizontal="right" vertical="center"/>
    </xf>
    <xf numFmtId="40" fontId="44" fillId="6" borderId="53" xfId="4" applyNumberFormat="1" applyFont="1" applyFill="1" applyBorder="1" applyAlignment="1">
      <alignment horizontal="center" vertical="center" wrapText="1"/>
    </xf>
    <xf numFmtId="10" fontId="44" fillId="6" borderId="53" xfId="5" applyNumberFormat="1" applyFont="1" applyFill="1" applyBorder="1" applyAlignment="1">
      <alignment horizontal="center" vertical="center" wrapText="1"/>
    </xf>
    <xf numFmtId="165" fontId="44" fillId="6" borderId="53" xfId="4" applyFont="1" applyFill="1" applyBorder="1" applyAlignment="1">
      <alignment horizontal="center" vertical="center" wrapText="1"/>
    </xf>
    <xf numFmtId="165" fontId="44" fillId="6" borderId="54" xfId="4" applyFont="1" applyFill="1" applyBorder="1" applyAlignment="1">
      <alignment horizontal="center" vertical="center" wrapText="1"/>
    </xf>
    <xf numFmtId="10" fontId="44" fillId="6" borderId="46" xfId="5" applyNumberFormat="1" applyFont="1" applyFill="1" applyBorder="1" applyAlignment="1">
      <alignment horizontal="center" vertical="center" wrapText="1"/>
    </xf>
    <xf numFmtId="10" fontId="44" fillId="6" borderId="47" xfId="5" applyNumberFormat="1" applyFont="1" applyFill="1" applyBorder="1" applyAlignment="1">
      <alignment horizontal="center" vertical="center" wrapText="1"/>
    </xf>
    <xf numFmtId="49" fontId="40" fillId="0" borderId="44" xfId="0" applyNumberFormat="1" applyFont="1" applyBorder="1" applyAlignment="1">
      <alignment horizontal="left" vertical="center" wrapText="1"/>
    </xf>
    <xf numFmtId="0" fontId="41" fillId="0" borderId="45" xfId="0" applyFont="1" applyBorder="1" applyAlignment="1">
      <alignment horizontal="left" vertical="center" wrapText="1"/>
    </xf>
    <xf numFmtId="0" fontId="28" fillId="12" borderId="63" xfId="0" applyFont="1" applyFill="1" applyBorder="1" applyAlignment="1">
      <alignment horizontal="center" vertical="center"/>
    </xf>
    <xf numFmtId="0" fontId="28" fillId="12" borderId="57" xfId="0" applyFont="1" applyFill="1" applyBorder="1" applyAlignment="1">
      <alignment horizontal="center" vertical="center"/>
    </xf>
    <xf numFmtId="0" fontId="28" fillId="12" borderId="75" xfId="0" applyFont="1" applyFill="1" applyBorder="1" applyAlignment="1">
      <alignment horizontal="center" vertical="center"/>
    </xf>
    <xf numFmtId="0" fontId="43" fillId="12" borderId="10" xfId="0" applyFont="1" applyFill="1" applyBorder="1" applyAlignment="1">
      <alignment horizontal="center" vertical="center"/>
    </xf>
    <xf numFmtId="0" fontId="43" fillId="12" borderId="58" xfId="0" applyFont="1" applyFill="1" applyBorder="1" applyAlignment="1">
      <alignment horizontal="center" vertical="center"/>
    </xf>
    <xf numFmtId="165" fontId="44" fillId="6" borderId="48" xfId="4" applyFont="1" applyFill="1" applyBorder="1" applyAlignment="1">
      <alignment horizontal="center" vertical="center" wrapText="1"/>
    </xf>
    <xf numFmtId="165" fontId="44" fillId="6" borderId="47" xfId="4" applyFont="1" applyFill="1" applyBorder="1" applyAlignment="1">
      <alignment horizontal="center" vertical="center" wrapText="1"/>
    </xf>
    <xf numFmtId="37" fontId="44" fillId="6" borderId="3" xfId="3" applyNumberFormat="1" applyFont="1" applyFill="1" applyBorder="1" applyAlignment="1">
      <alignment horizontal="center" vertical="center"/>
    </xf>
    <xf numFmtId="40" fontId="44" fillId="6" borderId="49" xfId="4" applyNumberFormat="1" applyFont="1" applyFill="1" applyBorder="1" applyAlignment="1">
      <alignment horizontal="center" vertical="center"/>
    </xf>
    <xf numFmtId="166" fontId="46" fillId="6" borderId="50" xfId="4" applyNumberFormat="1" applyFont="1" applyFill="1" applyBorder="1" applyAlignment="1">
      <alignment horizontal="center" vertical="center" wrapText="1"/>
    </xf>
    <xf numFmtId="166" fontId="47" fillId="6" borderId="51" xfId="4" applyNumberFormat="1" applyFont="1" applyFill="1" applyBorder="1" applyAlignment="1">
      <alignment horizontal="center" vertical="center" wrapText="1"/>
    </xf>
    <xf numFmtId="0" fontId="40" fillId="11" borderId="60" xfId="2" applyFont="1" applyFill="1" applyBorder="1" applyAlignment="1">
      <alignment vertical="center" wrapText="1"/>
    </xf>
    <xf numFmtId="0" fontId="48" fillId="0" borderId="58" xfId="2" quotePrefix="1" applyFont="1" applyBorder="1" applyAlignment="1">
      <alignment horizontal="center" vertical="center"/>
    </xf>
    <xf numFmtId="3" fontId="48" fillId="0" borderId="58" xfId="2" quotePrefix="1" applyNumberFormat="1" applyFont="1" applyBorder="1" applyAlignment="1">
      <alignment horizontal="center" vertical="center"/>
    </xf>
    <xf numFmtId="1" fontId="40" fillId="13" borderId="61" xfId="0" applyNumberFormat="1" applyFont="1" applyFill="1" applyBorder="1" applyAlignment="1">
      <alignment horizontal="center" vertical="center"/>
    </xf>
    <xf numFmtId="1" fontId="40" fillId="13" borderId="56" xfId="0" applyNumberFormat="1" applyFont="1" applyFill="1" applyBorder="1" applyAlignment="1">
      <alignment horizontal="center" vertical="center"/>
    </xf>
    <xf numFmtId="44" fontId="40" fillId="13" borderId="56" xfId="8" applyFont="1" applyFill="1" applyBorder="1" applyAlignment="1">
      <alignment vertical="center"/>
    </xf>
    <xf numFmtId="44" fontId="40" fillId="15" borderId="56" xfId="8" applyFont="1" applyFill="1" applyBorder="1" applyAlignment="1">
      <alignment vertical="center"/>
    </xf>
    <xf numFmtId="9" fontId="40" fillId="14" borderId="56" xfId="1" applyFont="1" applyFill="1" applyBorder="1" applyAlignment="1">
      <alignment vertical="center"/>
    </xf>
    <xf numFmtId="44" fontId="40" fillId="14" borderId="56" xfId="8" applyFont="1" applyFill="1" applyBorder="1" applyAlignment="1">
      <alignment vertical="center"/>
    </xf>
    <xf numFmtId="44" fontId="40" fillId="14" borderId="51" xfId="8" applyFont="1" applyFill="1" applyBorder="1" applyAlignment="1">
      <alignment vertical="center"/>
    </xf>
    <xf numFmtId="10" fontId="40" fillId="15" borderId="10" xfId="0" applyNumberFormat="1" applyFont="1" applyFill="1" applyBorder="1" applyAlignment="1">
      <alignment horizontal="center" vertical="center"/>
    </xf>
    <xf numFmtId="10" fontId="40" fillId="15" borderId="58" xfId="0" applyNumberFormat="1" applyFont="1" applyFill="1" applyBorder="1" applyAlignment="1">
      <alignment horizontal="center" vertical="center"/>
    </xf>
    <xf numFmtId="44" fontId="48" fillId="0" borderId="58" xfId="10" quotePrefix="1" applyFont="1" applyBorder="1" applyAlignment="1">
      <alignment horizontal="center" vertical="center"/>
    </xf>
    <xf numFmtId="0" fontId="40" fillId="11" borderId="58" xfId="2" applyFont="1" applyFill="1" applyBorder="1" applyAlignment="1">
      <alignment horizontal="left" vertical="center" wrapText="1"/>
    </xf>
    <xf numFmtId="44" fontId="40" fillId="0" borderId="58" xfId="8" applyFont="1" applyBorder="1" applyAlignment="1">
      <alignment vertical="center"/>
    </xf>
    <xf numFmtId="44" fontId="40" fillId="0" borderId="74" xfId="8" applyFont="1" applyBorder="1" applyAlignment="1">
      <alignment vertical="center"/>
    </xf>
    <xf numFmtId="1" fontId="40" fillId="13" borderId="73" xfId="0" applyNumberFormat="1" applyFont="1" applyFill="1" applyBorder="1" applyAlignment="1">
      <alignment horizontal="center" vertical="center"/>
    </xf>
    <xf numFmtId="1" fontId="40" fillId="13" borderId="7" xfId="0" applyNumberFormat="1" applyFont="1" applyFill="1" applyBorder="1" applyAlignment="1">
      <alignment horizontal="center" vertical="center"/>
    </xf>
    <xf numFmtId="44" fontId="40" fillId="13" borderId="7" xfId="8" applyFont="1" applyFill="1" applyBorder="1" applyAlignment="1">
      <alignment vertical="center"/>
    </xf>
    <xf numFmtId="44" fontId="40" fillId="15" borderId="7" xfId="8" applyFont="1" applyFill="1" applyBorder="1" applyAlignment="1">
      <alignment vertical="center"/>
    </xf>
    <xf numFmtId="9" fontId="40" fillId="14" borderId="7" xfId="1" applyFont="1" applyFill="1" applyBorder="1" applyAlignment="1">
      <alignment vertical="center"/>
    </xf>
    <xf numFmtId="44" fontId="40" fillId="14" borderId="7" xfId="8" applyFont="1" applyFill="1" applyBorder="1" applyAlignment="1">
      <alignment vertical="center"/>
    </xf>
    <xf numFmtId="44" fontId="40" fillId="14" borderId="74" xfId="8" applyFont="1" applyFill="1" applyBorder="1" applyAlignment="1">
      <alignment vertical="center"/>
    </xf>
    <xf numFmtId="0" fontId="40" fillId="11" borderId="60" xfId="2" applyFont="1" applyFill="1" applyBorder="1" applyAlignment="1">
      <alignment horizontal="left" vertical="center" wrapText="1"/>
    </xf>
    <xf numFmtId="0" fontId="41" fillId="11" borderId="0" xfId="0" applyFont="1" applyFill="1" applyAlignment="1">
      <alignment horizontal="center" vertical="center"/>
    </xf>
    <xf numFmtId="0" fontId="48" fillId="11" borderId="58" xfId="2" applyFont="1" applyFill="1" applyBorder="1" applyAlignment="1">
      <alignment horizontal="left" vertical="center" wrapText="1"/>
    </xf>
    <xf numFmtId="44" fontId="48" fillId="11" borderId="58" xfId="8" applyFont="1" applyFill="1" applyBorder="1" applyAlignment="1">
      <alignment vertical="center"/>
    </xf>
    <xf numFmtId="0" fontId="41" fillId="11" borderId="0" xfId="0" applyFont="1" applyFill="1"/>
    <xf numFmtId="44" fontId="40" fillId="0" borderId="67" xfId="8" applyFont="1" applyBorder="1" applyAlignment="1">
      <alignment vertical="center"/>
    </xf>
    <xf numFmtId="0" fontId="40" fillId="0" borderId="58" xfId="0" applyFont="1" applyBorder="1" applyAlignment="1">
      <alignment horizontal="center" vertical="center"/>
    </xf>
    <xf numFmtId="44" fontId="49" fillId="13" borderId="7" xfId="8" applyFont="1" applyFill="1" applyBorder="1" applyAlignment="1">
      <alignment vertical="center"/>
    </xf>
    <xf numFmtId="0" fontId="40" fillId="0" borderId="60" xfId="0" applyFont="1" applyBorder="1" applyAlignment="1">
      <alignment horizontal="left" vertical="center" wrapText="1"/>
    </xf>
    <xf numFmtId="0" fontId="40" fillId="0" borderId="58" xfId="0" applyFont="1" applyBorder="1" applyAlignment="1">
      <alignment horizontal="left" vertical="center" wrapText="1"/>
    </xf>
    <xf numFmtId="44" fontId="39" fillId="13" borderId="7" xfId="8" applyFont="1" applyFill="1" applyBorder="1" applyAlignment="1">
      <alignment vertical="center"/>
    </xf>
    <xf numFmtId="44" fontId="39" fillId="13" borderId="56" xfId="8" applyFont="1" applyFill="1" applyBorder="1" applyAlignment="1">
      <alignment vertical="center"/>
    </xf>
    <xf numFmtId="10" fontId="40" fillId="15" borderId="33" xfId="0" applyNumberFormat="1" applyFont="1" applyFill="1" applyBorder="1" applyAlignment="1">
      <alignment horizontal="center" vertical="center"/>
    </xf>
    <xf numFmtId="10" fontId="40" fillId="15" borderId="59" xfId="0" applyNumberFormat="1" applyFont="1" applyFill="1" applyBorder="1" applyAlignment="1">
      <alignment horizontal="center" vertical="center"/>
    </xf>
    <xf numFmtId="0" fontId="41" fillId="14" borderId="0" xfId="0" applyFont="1" applyFill="1"/>
    <xf numFmtId="44" fontId="27" fillId="17" borderId="12" xfId="8" applyFont="1" applyFill="1" applyBorder="1" applyAlignment="1">
      <alignment horizontal="center"/>
    </xf>
    <xf numFmtId="49" fontId="40" fillId="0" borderId="70" xfId="0" applyNumberFormat="1" applyFont="1" applyBorder="1" applyAlignment="1">
      <alignment horizontal="left" vertical="center" wrapText="1"/>
    </xf>
    <xf numFmtId="0" fontId="27" fillId="17" borderId="11" xfId="0" applyFont="1" applyFill="1" applyBorder="1"/>
    <xf numFmtId="0" fontId="27" fillId="17" borderId="12" xfId="0" applyFont="1" applyFill="1" applyBorder="1" applyAlignment="1">
      <alignment horizontal="center"/>
    </xf>
    <xf numFmtId="0" fontId="27" fillId="17" borderId="12" xfId="0" applyFont="1" applyFill="1" applyBorder="1"/>
    <xf numFmtId="44" fontId="27" fillId="17" borderId="12" xfId="0" applyNumberFormat="1" applyFont="1" applyFill="1" applyBorder="1"/>
    <xf numFmtId="0" fontId="27" fillId="17" borderId="11" xfId="0" applyFont="1" applyFill="1" applyBorder="1" applyAlignment="1">
      <alignment horizontal="center"/>
    </xf>
    <xf numFmtId="44" fontId="27" fillId="17" borderId="6" xfId="8" applyFont="1" applyFill="1" applyBorder="1" applyAlignment="1">
      <alignment horizontal="center"/>
    </xf>
    <xf numFmtId="0" fontId="50" fillId="0" borderId="0" xfId="0" applyFont="1"/>
    <xf numFmtId="49" fontId="51" fillId="0" borderId="0" xfId="2" applyNumberFormat="1" applyFont="1" applyAlignment="1">
      <alignment horizontal="left" vertical="center" wrapText="1"/>
    </xf>
    <xf numFmtId="0" fontId="51" fillId="0" borderId="0" xfId="2" applyFont="1" applyAlignment="1">
      <alignment horizontal="left" vertical="center" wrapText="1"/>
    </xf>
    <xf numFmtId="0" fontId="50" fillId="0" borderId="0" xfId="0" applyFont="1" applyAlignment="1">
      <alignment horizontal="center"/>
    </xf>
    <xf numFmtId="0" fontId="53" fillId="0" borderId="0" xfId="0" applyFont="1"/>
    <xf numFmtId="0" fontId="53" fillId="0" borderId="0" xfId="0" applyFont="1" applyAlignment="1">
      <alignment horizontal="center"/>
    </xf>
    <xf numFmtId="164" fontId="52" fillId="0" borderId="0" xfId="2" applyNumberFormat="1" applyFont="1" applyAlignment="1">
      <alignment horizontal="left" vertical="center"/>
    </xf>
    <xf numFmtId="164" fontId="52" fillId="0" borderId="0" xfId="2" applyNumberFormat="1" applyFont="1" applyAlignment="1">
      <alignment horizontal="left" vertical="center" wrapText="1"/>
    </xf>
    <xf numFmtId="164" fontId="52" fillId="0" borderId="20" xfId="2" applyNumberFormat="1" applyFont="1" applyBorder="1" applyAlignment="1" applyProtection="1">
      <alignment horizontal="left" vertical="center"/>
      <protection locked="0"/>
    </xf>
    <xf numFmtId="164" fontId="52" fillId="0" borderId="19" xfId="2" applyNumberFormat="1" applyFont="1" applyBorder="1" applyAlignment="1" applyProtection="1">
      <alignment horizontal="left" vertical="center" wrapText="1"/>
      <protection locked="0"/>
    </xf>
    <xf numFmtId="164" fontId="52" fillId="0" borderId="31" xfId="2" applyNumberFormat="1" applyFont="1" applyBorder="1" applyAlignment="1" applyProtection="1">
      <alignment horizontal="left" vertical="center"/>
      <protection locked="0"/>
    </xf>
    <xf numFmtId="164" fontId="52" fillId="0" borderId="30" xfId="2" applyNumberFormat="1" applyFont="1" applyBorder="1" applyAlignment="1" applyProtection="1">
      <alignment horizontal="left" vertical="center" wrapText="1"/>
      <protection locked="0"/>
    </xf>
    <xf numFmtId="0" fontId="52" fillId="0" borderId="23" xfId="2" applyFont="1" applyBorder="1" applyAlignment="1" applyProtection="1">
      <alignment horizontal="left" vertical="center" wrapText="1"/>
      <protection locked="0"/>
    </xf>
    <xf numFmtId="14" fontId="52" fillId="0" borderId="30" xfId="2" applyNumberFormat="1" applyFont="1" applyBorder="1" applyAlignment="1" applyProtection="1">
      <alignment horizontal="left" vertical="center" wrapText="1"/>
      <protection locked="0"/>
    </xf>
    <xf numFmtId="164" fontId="52" fillId="0" borderId="37" xfId="2" applyNumberFormat="1" applyFont="1" applyBorder="1" applyAlignment="1" applyProtection="1">
      <alignment horizontal="left" vertical="center"/>
      <protection locked="0"/>
    </xf>
    <xf numFmtId="0" fontId="52" fillId="0" borderId="26" xfId="2" applyFont="1" applyBorder="1" applyAlignment="1" applyProtection="1">
      <alignment horizontal="left" vertical="center" wrapText="1"/>
      <protection locked="0"/>
    </xf>
    <xf numFmtId="49" fontId="50" fillId="0" borderId="0" xfId="0" applyNumberFormat="1" applyFont="1"/>
    <xf numFmtId="0" fontId="50" fillId="0" borderId="0" xfId="0" applyFont="1" applyAlignment="1">
      <alignment wrapText="1"/>
    </xf>
    <xf numFmtId="0" fontId="50" fillId="0" borderId="0" xfId="1" applyNumberFormat="1" applyFont="1"/>
    <xf numFmtId="165" fontId="54" fillId="6" borderId="36" xfId="4" applyFont="1" applyFill="1" applyBorder="1" applyAlignment="1">
      <alignment horizontal="center" vertical="center" wrapText="1"/>
    </xf>
    <xf numFmtId="168" fontId="53" fillId="0" borderId="5" xfId="1" applyNumberFormat="1" applyFont="1" applyBorder="1"/>
    <xf numFmtId="166" fontId="54" fillId="0" borderId="38" xfId="4" applyNumberFormat="1" applyFont="1" applyBorder="1" applyAlignment="1">
      <alignment horizontal="center" vertical="center" wrapText="1"/>
    </xf>
    <xf numFmtId="0" fontId="53" fillId="5" borderId="0" xfId="0" applyFont="1" applyFill="1"/>
    <xf numFmtId="49" fontId="53" fillId="5" borderId="0" xfId="0" applyNumberFormat="1" applyFont="1" applyFill="1"/>
    <xf numFmtId="0" fontId="55" fillId="0" borderId="0" xfId="0" applyFont="1"/>
    <xf numFmtId="0" fontId="50" fillId="0" borderId="43" xfId="0" applyFont="1" applyBorder="1" applyAlignment="1">
      <alignment horizontal="left" vertical="center"/>
    </xf>
    <xf numFmtId="49" fontId="50" fillId="0" borderId="44" xfId="0" applyNumberFormat="1" applyFont="1" applyBorder="1" applyAlignment="1">
      <alignment horizontal="left" vertical="center"/>
    </xf>
    <xf numFmtId="0" fontId="50" fillId="0" borderId="45" xfId="0" applyFont="1" applyBorder="1" applyAlignment="1">
      <alignment horizontal="left" vertical="center"/>
    </xf>
    <xf numFmtId="0" fontId="50" fillId="0" borderId="43" xfId="0" applyFont="1" applyBorder="1" applyAlignment="1">
      <alignment horizontal="left" vertical="center" wrapText="1"/>
    </xf>
    <xf numFmtId="0" fontId="52" fillId="6" borderId="52" xfId="3" applyFont="1" applyFill="1" applyBorder="1" applyAlignment="1">
      <alignment horizontal="left" vertical="center"/>
    </xf>
    <xf numFmtId="0" fontId="52" fillId="6" borderId="53" xfId="3" applyFont="1" applyFill="1" applyBorder="1" applyAlignment="1">
      <alignment horizontal="center" vertical="center" wrapText="1"/>
    </xf>
    <xf numFmtId="0" fontId="56" fillId="6" borderId="53" xfId="3" applyFont="1" applyFill="1" applyBorder="1" applyAlignment="1">
      <alignment horizontal="center" vertical="center"/>
    </xf>
    <xf numFmtId="169" fontId="56" fillId="6" borderId="53" xfId="3" applyNumberFormat="1" applyFont="1" applyFill="1" applyBorder="1" applyAlignment="1">
      <alignment horizontal="center" vertical="center" wrapText="1"/>
    </xf>
    <xf numFmtId="0" fontId="56" fillId="6" borderId="53" xfId="3" applyFont="1" applyFill="1" applyBorder="1" applyAlignment="1">
      <alignment horizontal="center" vertical="center" wrapText="1"/>
    </xf>
    <xf numFmtId="170" fontId="56" fillId="6" borderId="57" xfId="1" applyNumberFormat="1" applyFont="1" applyFill="1" applyBorder="1" applyAlignment="1">
      <alignment horizontal="center" vertical="center" wrapText="1"/>
    </xf>
    <xf numFmtId="10" fontId="56" fillId="6" borderId="57" xfId="1" applyNumberFormat="1" applyFont="1" applyFill="1" applyBorder="1" applyAlignment="1">
      <alignment horizontal="center" vertical="center" wrapText="1"/>
    </xf>
    <xf numFmtId="0" fontId="56" fillId="6" borderId="54" xfId="3" applyFont="1" applyFill="1" applyBorder="1" applyAlignment="1">
      <alignment horizontal="center" vertical="center" wrapText="1"/>
    </xf>
    <xf numFmtId="37" fontId="54" fillId="6" borderId="52" xfId="3" applyNumberFormat="1" applyFont="1" applyFill="1" applyBorder="1" applyAlignment="1">
      <alignment horizontal="center" vertical="center"/>
    </xf>
    <xf numFmtId="37" fontId="54" fillId="6" borderId="53" xfId="3" applyNumberFormat="1" applyFont="1" applyFill="1" applyBorder="1" applyAlignment="1">
      <alignment horizontal="center" vertical="center"/>
    </xf>
    <xf numFmtId="40" fontId="54" fillId="6" borderId="53" xfId="4" applyNumberFormat="1" applyFont="1" applyFill="1" applyBorder="1" applyAlignment="1">
      <alignment horizontal="center" vertical="center"/>
    </xf>
    <xf numFmtId="165" fontId="54" fillId="6" borderId="53" xfId="4" applyFont="1" applyFill="1" applyBorder="1" applyAlignment="1">
      <alignment horizontal="right" vertical="center"/>
    </xf>
    <xf numFmtId="40" fontId="54" fillId="6" borderId="53" xfId="4" applyNumberFormat="1" applyFont="1" applyFill="1" applyBorder="1" applyAlignment="1">
      <alignment horizontal="center" vertical="center" wrapText="1"/>
    </xf>
    <xf numFmtId="10" fontId="54" fillId="6" borderId="53" xfId="5" applyNumberFormat="1" applyFont="1" applyFill="1" applyBorder="1" applyAlignment="1">
      <alignment horizontal="center" vertical="center" wrapText="1"/>
    </xf>
    <xf numFmtId="165" fontId="54" fillId="6" borderId="53" xfId="4" applyFont="1" applyFill="1" applyBorder="1" applyAlignment="1">
      <alignment horizontal="center" vertical="center" wrapText="1"/>
    </xf>
    <xf numFmtId="165" fontId="54" fillId="6" borderId="54" xfId="4" applyFont="1" applyFill="1" applyBorder="1" applyAlignment="1">
      <alignment horizontal="center" vertical="center" wrapText="1"/>
    </xf>
    <xf numFmtId="10" fontId="54" fillId="6" borderId="46" xfId="5" applyNumberFormat="1" applyFont="1" applyFill="1" applyBorder="1" applyAlignment="1">
      <alignment horizontal="center" vertical="center" wrapText="1"/>
    </xf>
    <xf numFmtId="10" fontId="54" fillId="6" borderId="47" xfId="5" applyNumberFormat="1" applyFont="1" applyFill="1" applyBorder="1" applyAlignment="1">
      <alignment horizontal="center" vertical="center" wrapText="1"/>
    </xf>
    <xf numFmtId="49" fontId="57" fillId="0" borderId="44" xfId="0" applyNumberFormat="1" applyFont="1" applyBorder="1" applyAlignment="1">
      <alignment horizontal="left" vertical="center" wrapText="1"/>
    </xf>
    <xf numFmtId="0" fontId="50" fillId="0" borderId="45" xfId="0" applyFont="1" applyBorder="1" applyAlignment="1">
      <alignment horizontal="left" vertical="center" wrapText="1"/>
    </xf>
    <xf numFmtId="0" fontId="30" fillId="9" borderId="61" xfId="0" applyFont="1" applyFill="1" applyBorder="1" applyAlignment="1">
      <alignment horizontal="center"/>
    </xf>
    <xf numFmtId="0" fontId="56" fillId="12" borderId="63" xfId="0" applyFont="1" applyFill="1" applyBorder="1" applyAlignment="1">
      <alignment horizontal="center" vertical="center"/>
    </xf>
    <xf numFmtId="0" fontId="56" fillId="12" borderId="57" xfId="0" applyFont="1" applyFill="1" applyBorder="1" applyAlignment="1">
      <alignment horizontal="center" vertical="center"/>
    </xf>
    <xf numFmtId="0" fontId="56" fillId="12" borderId="75" xfId="0" applyFont="1" applyFill="1" applyBorder="1" applyAlignment="1">
      <alignment horizontal="center" vertical="center"/>
    </xf>
    <xf numFmtId="0" fontId="53" fillId="12" borderId="10" xfId="0" applyFont="1" applyFill="1" applyBorder="1" applyAlignment="1">
      <alignment horizontal="center" vertical="center"/>
    </xf>
    <xf numFmtId="0" fontId="53" fillId="12" borderId="58" xfId="0" applyFont="1" applyFill="1" applyBorder="1" applyAlignment="1">
      <alignment horizontal="center" vertical="center"/>
    </xf>
    <xf numFmtId="165" fontId="54" fillId="6" borderId="48" xfId="4" applyFont="1" applyFill="1" applyBorder="1" applyAlignment="1">
      <alignment horizontal="center" vertical="center" wrapText="1"/>
    </xf>
    <xf numFmtId="165" fontId="54" fillId="6" borderId="47" xfId="4" applyFont="1" applyFill="1" applyBorder="1" applyAlignment="1">
      <alignment horizontal="center" vertical="center" wrapText="1"/>
    </xf>
    <xf numFmtId="37" fontId="54" fillId="6" borderId="3" xfId="3" applyNumberFormat="1" applyFont="1" applyFill="1" applyBorder="1" applyAlignment="1">
      <alignment horizontal="center" vertical="center"/>
    </xf>
    <xf numFmtId="40" fontId="54" fillId="6" borderId="49" xfId="4" applyNumberFormat="1" applyFont="1" applyFill="1" applyBorder="1" applyAlignment="1">
      <alignment horizontal="center" vertical="center"/>
    </xf>
    <xf numFmtId="166" fontId="58" fillId="6" borderId="50" xfId="4" applyNumberFormat="1" applyFont="1" applyFill="1" applyBorder="1" applyAlignment="1">
      <alignment horizontal="center" vertical="center" wrapText="1"/>
    </xf>
    <xf numFmtId="166" fontId="59" fillId="6" borderId="51" xfId="4" applyNumberFormat="1" applyFont="1" applyFill="1" applyBorder="1" applyAlignment="1">
      <alignment horizontal="center" vertical="center" wrapText="1"/>
    </xf>
    <xf numFmtId="0" fontId="57" fillId="11" borderId="60" xfId="2" applyFont="1" applyFill="1" applyBorder="1" applyAlignment="1">
      <alignment vertical="center" wrapText="1"/>
    </xf>
    <xf numFmtId="0" fontId="57" fillId="0" borderId="58" xfId="2" applyFont="1" applyBorder="1" applyAlignment="1">
      <alignment horizontal="left" vertical="center" wrapText="1"/>
    </xf>
    <xf numFmtId="0" fontId="60" fillId="0" borderId="58" xfId="2" quotePrefix="1" applyFont="1" applyBorder="1" applyAlignment="1">
      <alignment horizontal="center" vertical="center"/>
    </xf>
    <xf numFmtId="3" fontId="60" fillId="0" borderId="58" xfId="2" quotePrefix="1" applyNumberFormat="1" applyFont="1" applyBorder="1" applyAlignment="1">
      <alignment horizontal="center" vertical="center"/>
    </xf>
    <xf numFmtId="44" fontId="60" fillId="0" borderId="58" xfId="10" quotePrefix="1" applyFont="1" applyBorder="1" applyAlignment="1">
      <alignment horizontal="right" vertical="center"/>
    </xf>
    <xf numFmtId="44" fontId="57" fillId="0" borderId="59" xfId="8" applyFont="1" applyBorder="1" applyAlignment="1">
      <alignment vertical="center"/>
    </xf>
    <xf numFmtId="44" fontId="57" fillId="0" borderId="51" xfId="8" applyFont="1" applyBorder="1" applyAlignment="1">
      <alignment vertical="center"/>
    </xf>
    <xf numFmtId="1" fontId="57" fillId="13" borderId="61" xfId="0" applyNumberFormat="1" applyFont="1" applyFill="1" applyBorder="1" applyAlignment="1">
      <alignment horizontal="center" vertical="center"/>
    </xf>
    <xf numFmtId="1" fontId="57" fillId="13" borderId="56" xfId="0" applyNumberFormat="1" applyFont="1" applyFill="1" applyBorder="1" applyAlignment="1">
      <alignment horizontal="center" vertical="center"/>
    </xf>
    <xf numFmtId="44" fontId="57" fillId="13" borderId="56" xfId="8" applyFont="1" applyFill="1" applyBorder="1" applyAlignment="1">
      <alignment vertical="center"/>
    </xf>
    <xf numFmtId="44" fontId="57" fillId="26" borderId="56" xfId="8" applyFont="1" applyFill="1" applyBorder="1" applyAlignment="1">
      <alignment vertical="center"/>
    </xf>
    <xf numFmtId="44" fontId="57" fillId="15" borderId="56" xfId="8" applyFont="1" applyFill="1" applyBorder="1" applyAlignment="1">
      <alignment vertical="center"/>
    </xf>
    <xf numFmtId="9" fontId="57" fillId="14" borderId="56" xfId="1" applyFont="1" applyFill="1" applyBorder="1" applyAlignment="1">
      <alignment vertical="center"/>
    </xf>
    <xf numFmtId="44" fontId="57" fillId="14" borderId="56" xfId="8" applyFont="1" applyFill="1" applyBorder="1" applyAlignment="1">
      <alignment vertical="center"/>
    </xf>
    <xf numFmtId="44" fontId="57" fillId="14" borderId="51" xfId="8" applyFont="1" applyFill="1" applyBorder="1" applyAlignment="1">
      <alignment vertical="center"/>
    </xf>
    <xf numFmtId="10" fontId="57" fillId="15" borderId="10" xfId="0" applyNumberFormat="1" applyFont="1" applyFill="1" applyBorder="1" applyAlignment="1">
      <alignment horizontal="center" vertical="center"/>
    </xf>
    <xf numFmtId="10" fontId="57" fillId="15" borderId="58" xfId="0" applyNumberFormat="1" applyFont="1" applyFill="1" applyBorder="1" applyAlignment="1">
      <alignment horizontal="center" vertical="center"/>
    </xf>
    <xf numFmtId="0" fontId="53" fillId="16" borderId="0" xfId="0" applyFont="1" applyFill="1"/>
    <xf numFmtId="3" fontId="60" fillId="11" borderId="58" xfId="2" quotePrefix="1" applyNumberFormat="1" applyFont="1" applyFill="1" applyBorder="1" applyAlignment="1">
      <alignment horizontal="center" vertical="center"/>
    </xf>
    <xf numFmtId="44" fontId="60" fillId="0" borderId="58" xfId="10" quotePrefix="1" applyFont="1" applyBorder="1" applyAlignment="1">
      <alignment horizontal="center" vertical="center"/>
    </xf>
    <xf numFmtId="0" fontId="57" fillId="11" borderId="58" xfId="2" applyFont="1" applyFill="1" applyBorder="1" applyAlignment="1">
      <alignment horizontal="left" vertical="center" wrapText="1"/>
    </xf>
    <xf numFmtId="0" fontId="60" fillId="11" borderId="58" xfId="2" quotePrefix="1" applyFont="1" applyFill="1" applyBorder="1" applyAlignment="1">
      <alignment horizontal="center" vertical="center"/>
    </xf>
    <xf numFmtId="44" fontId="60" fillId="11" borderId="58" xfId="10" quotePrefix="1" applyFont="1" applyFill="1" applyBorder="1" applyAlignment="1">
      <alignment horizontal="right" vertical="center"/>
    </xf>
    <xf numFmtId="0" fontId="53" fillId="24" borderId="0" xfId="0" applyFont="1" applyFill="1"/>
    <xf numFmtId="0" fontId="57" fillId="0" borderId="60" xfId="2" applyFont="1" applyBorder="1" applyAlignment="1">
      <alignment vertical="center" wrapText="1"/>
    </xf>
    <xf numFmtId="0" fontId="57" fillId="11" borderId="58" xfId="2" applyFont="1" applyFill="1" applyBorder="1" applyAlignment="1">
      <alignment vertical="center" wrapText="1"/>
    </xf>
    <xf numFmtId="44" fontId="57" fillId="0" borderId="58" xfId="8" applyFont="1" applyBorder="1" applyAlignment="1">
      <alignment vertical="center"/>
    </xf>
    <xf numFmtId="44" fontId="57" fillId="0" borderId="74" xfId="8" applyFont="1" applyBorder="1" applyAlignment="1">
      <alignment vertical="center"/>
    </xf>
    <xf numFmtId="1" fontId="57" fillId="13" borderId="73" xfId="0" applyNumberFormat="1" applyFont="1" applyFill="1" applyBorder="1" applyAlignment="1">
      <alignment horizontal="center" vertical="center"/>
    </xf>
    <xf numFmtId="1" fontId="57" fillId="13" borderId="7" xfId="0" applyNumberFormat="1" applyFont="1" applyFill="1" applyBorder="1" applyAlignment="1">
      <alignment horizontal="center" vertical="center"/>
    </xf>
    <xf numFmtId="44" fontId="57" fillId="13" borderId="7" xfId="8" applyFont="1" applyFill="1" applyBorder="1" applyAlignment="1">
      <alignment vertical="center"/>
    </xf>
    <xf numFmtId="44" fontId="60" fillId="13" borderId="7" xfId="8" applyFont="1" applyFill="1" applyBorder="1" applyAlignment="1">
      <alignment vertical="center"/>
    </xf>
    <xf numFmtId="44" fontId="57" fillId="15" borderId="7" xfId="8" applyFont="1" applyFill="1" applyBorder="1" applyAlignment="1">
      <alignment vertical="center"/>
    </xf>
    <xf numFmtId="9" fontId="57" fillId="14" borderId="7" xfId="1" applyFont="1" applyFill="1" applyBorder="1" applyAlignment="1">
      <alignment vertical="center"/>
    </xf>
    <xf numFmtId="44" fontId="57" fillId="14" borderId="7" xfId="8" applyFont="1" applyFill="1" applyBorder="1" applyAlignment="1">
      <alignment vertical="center"/>
    </xf>
    <xf numFmtId="44" fontId="57" fillId="14" borderId="74" xfId="8" applyFont="1" applyFill="1" applyBorder="1" applyAlignment="1">
      <alignment vertical="center"/>
    </xf>
    <xf numFmtId="171" fontId="30" fillId="10" borderId="9" xfId="0" applyNumberFormat="1" applyFont="1" applyFill="1" applyBorder="1" applyAlignment="1">
      <alignment horizontal="right"/>
    </xf>
    <xf numFmtId="171" fontId="30" fillId="10" borderId="84" xfId="0" applyNumberFormat="1" applyFont="1" applyFill="1" applyBorder="1" applyAlignment="1">
      <alignment horizontal="right"/>
    </xf>
    <xf numFmtId="44" fontId="30" fillId="10" borderId="15" xfId="0" applyNumberFormat="1" applyFont="1" applyFill="1" applyBorder="1" applyAlignment="1">
      <alignment horizontal="right"/>
    </xf>
    <xf numFmtId="44" fontId="56" fillId="15" borderId="15" xfId="0" applyNumberFormat="1" applyFont="1" applyFill="1" applyBorder="1"/>
    <xf numFmtId="0" fontId="50" fillId="14" borderId="15" xfId="0" applyFont="1" applyFill="1" applyBorder="1"/>
    <xf numFmtId="44" fontId="56" fillId="14" borderId="15" xfId="0" applyNumberFormat="1" applyFont="1" applyFill="1" applyBorder="1"/>
    <xf numFmtId="44" fontId="56" fillId="14" borderId="76" xfId="8" applyFont="1" applyFill="1" applyBorder="1"/>
    <xf numFmtId="0" fontId="57" fillId="11" borderId="60" xfId="2" applyFont="1" applyFill="1" applyBorder="1" applyAlignment="1">
      <alignment horizontal="left" vertical="center" wrapText="1"/>
    </xf>
    <xf numFmtId="0" fontId="57" fillId="11" borderId="58" xfId="0" applyFont="1" applyFill="1" applyBorder="1" applyAlignment="1">
      <alignment horizontal="center" vertical="center"/>
    </xf>
    <xf numFmtId="44" fontId="57" fillId="11" borderId="58" xfId="8" applyFont="1" applyFill="1" applyBorder="1" applyAlignment="1">
      <alignment vertical="center"/>
    </xf>
    <xf numFmtId="44" fontId="57" fillId="11" borderId="59" xfId="8" applyFont="1" applyFill="1" applyBorder="1" applyAlignment="1">
      <alignment vertical="center"/>
    </xf>
    <xf numFmtId="44" fontId="57" fillId="11" borderId="51" xfId="8" applyFont="1" applyFill="1" applyBorder="1" applyAlignment="1">
      <alignment vertical="center"/>
    </xf>
    <xf numFmtId="1" fontId="57" fillId="13" borderId="60" xfId="0" applyNumberFormat="1" applyFont="1" applyFill="1" applyBorder="1" applyAlignment="1">
      <alignment horizontal="center" vertical="center"/>
    </xf>
    <xf numFmtId="1" fontId="57" fillId="13" borderId="58" xfId="0" applyNumberFormat="1" applyFont="1" applyFill="1" applyBorder="1" applyAlignment="1">
      <alignment horizontal="center" vertical="center"/>
    </xf>
    <xf numFmtId="44" fontId="57" fillId="13" borderId="58" xfId="8" applyFont="1" applyFill="1" applyBorder="1" applyAlignment="1">
      <alignment vertical="center"/>
    </xf>
    <xf numFmtId="44" fontId="57" fillId="15" borderId="58" xfId="8" applyFont="1" applyFill="1" applyBorder="1" applyAlignment="1">
      <alignment vertical="center"/>
    </xf>
    <xf numFmtId="9" fontId="57" fillId="14" borderId="58" xfId="1" applyFont="1" applyFill="1" applyBorder="1" applyAlignment="1">
      <alignment vertical="center"/>
    </xf>
    <xf numFmtId="44" fontId="57" fillId="14" borderId="58" xfId="8" applyFont="1" applyFill="1" applyBorder="1" applyAlignment="1">
      <alignment vertical="center"/>
    </xf>
    <xf numFmtId="0" fontId="50" fillId="11" borderId="0" xfId="0" applyFont="1" applyFill="1" applyAlignment="1">
      <alignment horizontal="center" vertical="center"/>
    </xf>
    <xf numFmtId="44" fontId="62" fillId="13" borderId="58" xfId="8" applyFont="1" applyFill="1" applyBorder="1" applyAlignment="1">
      <alignment vertical="center"/>
    </xf>
    <xf numFmtId="0" fontId="60" fillId="11" borderId="58" xfId="2" applyFont="1" applyFill="1" applyBorder="1" applyAlignment="1">
      <alignment horizontal="left" vertical="center" wrapText="1"/>
    </xf>
    <xf numFmtId="44" fontId="60" fillId="11" borderId="58" xfId="8" applyFont="1" applyFill="1" applyBorder="1" applyAlignment="1">
      <alignment vertical="center"/>
    </xf>
    <xf numFmtId="44" fontId="57" fillId="11" borderId="74" xfId="8" applyFont="1" applyFill="1" applyBorder="1" applyAlignment="1">
      <alignment vertical="center"/>
    </xf>
    <xf numFmtId="0" fontId="50" fillId="11" borderId="0" xfId="0" applyFont="1" applyFill="1"/>
    <xf numFmtId="44" fontId="57" fillId="26" borderId="58" xfId="8" applyFont="1" applyFill="1" applyBorder="1" applyAlignment="1">
      <alignment vertical="center"/>
    </xf>
    <xf numFmtId="0" fontId="50" fillId="0" borderId="0" xfId="0" applyFont="1" applyAlignment="1">
      <alignment horizontal="center" vertical="center"/>
    </xf>
    <xf numFmtId="0" fontId="53" fillId="23" borderId="0" xfId="0" applyFont="1" applyFill="1"/>
    <xf numFmtId="0" fontId="50" fillId="0" borderId="69" xfId="0" applyFont="1" applyBorder="1" applyAlignment="1">
      <alignment horizontal="left" vertical="center" wrapText="1"/>
    </xf>
    <xf numFmtId="0" fontId="50" fillId="0" borderId="0" xfId="0" applyFont="1" applyAlignment="1">
      <alignment horizontal="left" vertical="center" wrapText="1"/>
    </xf>
    <xf numFmtId="0" fontId="50" fillId="0" borderId="55" xfId="0" applyFont="1" applyBorder="1" applyAlignment="1">
      <alignment horizontal="left" vertical="center" wrapText="1"/>
    </xf>
    <xf numFmtId="0" fontId="50" fillId="0" borderId="71" xfId="0" applyFont="1" applyBorder="1" applyAlignment="1">
      <alignment horizontal="left" vertical="center" wrapText="1"/>
    </xf>
    <xf numFmtId="0" fontId="57" fillId="11" borderId="67" xfId="2" applyFont="1" applyFill="1" applyBorder="1" applyAlignment="1">
      <alignment horizontal="left" vertical="center" wrapText="1"/>
    </xf>
    <xf numFmtId="0" fontId="57" fillId="11" borderId="67" xfId="0" applyFont="1" applyFill="1" applyBorder="1" applyAlignment="1">
      <alignment horizontal="center" vertical="center"/>
    </xf>
    <xf numFmtId="44" fontId="60" fillId="11" borderId="67" xfId="8" applyFont="1" applyFill="1" applyBorder="1" applyAlignment="1">
      <alignment vertical="center"/>
    </xf>
    <xf numFmtId="44" fontId="57" fillId="27" borderId="58" xfId="8" applyFont="1" applyFill="1" applyBorder="1" applyAlignment="1">
      <alignment vertical="center"/>
    </xf>
    <xf numFmtId="44" fontId="62" fillId="27" borderId="58" xfId="8" applyFont="1" applyFill="1" applyBorder="1" applyAlignment="1">
      <alignment vertical="center"/>
    </xf>
    <xf numFmtId="44" fontId="57" fillId="0" borderId="67" xfId="8" applyFont="1" applyBorder="1" applyAlignment="1">
      <alignment vertical="center"/>
    </xf>
    <xf numFmtId="0" fontId="57" fillId="11" borderId="66" xfId="2" applyFont="1" applyFill="1" applyBorder="1" applyAlignment="1">
      <alignment horizontal="left" vertical="center" wrapText="1"/>
    </xf>
    <xf numFmtId="44" fontId="57" fillId="31" borderId="67" xfId="8" applyFont="1" applyFill="1" applyBorder="1" applyAlignment="1">
      <alignment vertical="center"/>
    </xf>
    <xf numFmtId="44" fontId="57" fillId="11" borderId="67" xfId="8" applyFont="1" applyFill="1" applyBorder="1" applyAlignment="1">
      <alignment vertical="center"/>
    </xf>
    <xf numFmtId="44" fontId="57" fillId="11" borderId="81" xfId="8" applyFont="1" applyFill="1" applyBorder="1" applyAlignment="1">
      <alignment vertical="center"/>
    </xf>
    <xf numFmtId="1" fontId="57" fillId="16" borderId="58" xfId="0" applyNumberFormat="1" applyFont="1" applyFill="1" applyBorder="1" applyAlignment="1">
      <alignment horizontal="center" vertical="center"/>
    </xf>
    <xf numFmtId="44" fontId="61" fillId="13" borderId="58" xfId="8" applyFont="1" applyFill="1" applyBorder="1" applyAlignment="1">
      <alignment vertical="center"/>
    </xf>
    <xf numFmtId="171" fontId="30" fillId="10" borderId="15" xfId="0" applyNumberFormat="1" applyFont="1" applyFill="1" applyBorder="1" applyAlignment="1">
      <alignment horizontal="right"/>
    </xf>
    <xf numFmtId="171" fontId="30" fillId="10" borderId="0" xfId="0" applyNumberFormat="1" applyFont="1" applyFill="1" applyAlignment="1">
      <alignment horizontal="right"/>
    </xf>
    <xf numFmtId="171" fontId="30" fillId="10" borderId="76" xfId="0" applyNumberFormat="1" applyFont="1" applyFill="1" applyBorder="1" applyAlignment="1">
      <alignment horizontal="right"/>
    </xf>
    <xf numFmtId="0" fontId="57" fillId="0" borderId="60" xfId="2" applyFont="1" applyBorder="1" applyAlignment="1">
      <alignment horizontal="left" vertical="center" wrapText="1"/>
    </xf>
    <xf numFmtId="0" fontId="57" fillId="0" borderId="58" xfId="0" applyFont="1" applyBorder="1" applyAlignment="1">
      <alignment horizontal="center" vertical="center"/>
    </xf>
    <xf numFmtId="44" fontId="50" fillId="11" borderId="0" xfId="0" applyNumberFormat="1" applyFont="1" applyFill="1" applyAlignment="1">
      <alignment horizontal="center" vertical="center"/>
    </xf>
    <xf numFmtId="44" fontId="64" fillId="13" borderId="56" xfId="8" applyFont="1" applyFill="1" applyBorder="1" applyAlignment="1">
      <alignment vertical="center"/>
    </xf>
    <xf numFmtId="44" fontId="61" fillId="13" borderId="56" xfId="8" applyFont="1" applyFill="1" applyBorder="1" applyAlignment="1">
      <alignment vertical="center"/>
    </xf>
    <xf numFmtId="0" fontId="57" fillId="28" borderId="58" xfId="0" applyFont="1" applyFill="1" applyBorder="1" applyAlignment="1">
      <alignment horizontal="center" vertical="center"/>
    </xf>
    <xf numFmtId="44" fontId="61" fillId="13" borderId="7" xfId="8" applyFont="1" applyFill="1" applyBorder="1" applyAlignment="1">
      <alignment vertical="center"/>
    </xf>
    <xf numFmtId="0" fontId="57" fillId="0" borderId="78" xfId="0" applyFont="1" applyBorder="1" applyAlignment="1">
      <alignment horizontal="left" vertical="center" wrapText="1"/>
    </xf>
    <xf numFmtId="0" fontId="57" fillId="11" borderId="58" xfId="0" applyFont="1" applyFill="1" applyBorder="1" applyAlignment="1">
      <alignment horizontal="left" vertical="center" wrapText="1"/>
    </xf>
    <xf numFmtId="44" fontId="57" fillId="0" borderId="72" xfId="8" applyFont="1" applyBorder="1" applyAlignment="1">
      <alignment vertical="center"/>
    </xf>
    <xf numFmtId="44" fontId="57" fillId="0" borderId="79" xfId="8" applyFont="1" applyBorder="1" applyAlignment="1">
      <alignment vertical="center"/>
    </xf>
    <xf numFmtId="1" fontId="57" fillId="13" borderId="17" xfId="0" applyNumberFormat="1" applyFont="1" applyFill="1" applyBorder="1" applyAlignment="1">
      <alignment horizontal="center" vertical="center"/>
    </xf>
    <xf numFmtId="1" fontId="57" fillId="13" borderId="68" xfId="0" applyNumberFormat="1" applyFont="1" applyFill="1" applyBorder="1" applyAlignment="1">
      <alignment horizontal="center" vertical="center"/>
    </xf>
    <xf numFmtId="44" fontId="57" fillId="13" borderId="68" xfId="8" applyFont="1" applyFill="1" applyBorder="1" applyAlignment="1">
      <alignment vertical="center"/>
    </xf>
    <xf numFmtId="44" fontId="64" fillId="13" borderId="68" xfId="8" applyFont="1" applyFill="1" applyBorder="1" applyAlignment="1">
      <alignment vertical="center"/>
    </xf>
    <xf numFmtId="44" fontId="57" fillId="15" borderId="68" xfId="8" applyFont="1" applyFill="1" applyBorder="1" applyAlignment="1">
      <alignment vertical="center"/>
    </xf>
    <xf numFmtId="9" fontId="57" fillId="14" borderId="68" xfId="1" applyFont="1" applyFill="1" applyBorder="1" applyAlignment="1">
      <alignment vertical="center"/>
    </xf>
    <xf numFmtId="44" fontId="57" fillId="14" borderId="68" xfId="8" applyFont="1" applyFill="1" applyBorder="1" applyAlignment="1">
      <alignment vertical="center"/>
    </xf>
    <xf numFmtId="44" fontId="57" fillId="14" borderId="79" xfId="8" applyFont="1" applyFill="1" applyBorder="1" applyAlignment="1">
      <alignment vertical="center"/>
    </xf>
    <xf numFmtId="0" fontId="57" fillId="0" borderId="50" xfId="0" applyFont="1" applyBorder="1" applyAlignment="1">
      <alignment horizontal="left" vertical="center" wrapText="1"/>
    </xf>
    <xf numFmtId="0" fontId="57" fillId="0" borderId="60" xfId="0" applyFont="1" applyBorder="1" applyAlignment="1">
      <alignment horizontal="left" vertical="center" wrapText="1"/>
    </xf>
    <xf numFmtId="0" fontId="57" fillId="0" borderId="58" xfId="0" applyFont="1" applyBorder="1" applyAlignment="1">
      <alignment horizontal="left" vertical="center" wrapText="1"/>
    </xf>
    <xf numFmtId="44" fontId="62" fillId="13" borderId="7" xfId="8" applyFont="1" applyFill="1" applyBorder="1" applyAlignment="1">
      <alignment vertical="center"/>
    </xf>
    <xf numFmtId="44" fontId="65" fillId="13" borderId="56" xfId="8" applyFont="1" applyFill="1" applyBorder="1" applyAlignment="1">
      <alignment vertical="center"/>
    </xf>
    <xf numFmtId="1" fontId="57" fillId="25" borderId="61" xfId="0" applyNumberFormat="1" applyFont="1" applyFill="1" applyBorder="1" applyAlignment="1">
      <alignment horizontal="center" vertical="center"/>
    </xf>
    <xf numFmtId="44" fontId="57" fillId="28" borderId="58" xfId="8" applyFont="1" applyFill="1" applyBorder="1" applyAlignment="1">
      <alignment vertical="center"/>
    </xf>
    <xf numFmtId="44" fontId="61" fillId="27" borderId="7" xfId="8" applyFont="1" applyFill="1" applyBorder="1" applyAlignment="1">
      <alignment vertical="center"/>
    </xf>
    <xf numFmtId="171" fontId="30" fillId="10" borderId="65" xfId="8" applyNumberFormat="1" applyFont="1" applyFill="1" applyBorder="1" applyAlignment="1">
      <alignment horizontal="right"/>
    </xf>
    <xf numFmtId="171" fontId="30" fillId="10" borderId="80" xfId="8" applyNumberFormat="1" applyFont="1" applyFill="1" applyBorder="1" applyAlignment="1">
      <alignment horizontal="right"/>
    </xf>
    <xf numFmtId="44" fontId="30" fillId="10" borderId="65" xfId="8" applyFont="1" applyFill="1" applyBorder="1" applyAlignment="1">
      <alignment horizontal="right"/>
    </xf>
    <xf numFmtId="44" fontId="56" fillId="15" borderId="65" xfId="8" applyFont="1" applyFill="1" applyBorder="1" applyAlignment="1">
      <alignment vertical="center"/>
    </xf>
    <xf numFmtId="9" fontId="57" fillId="14" borderId="65" xfId="1" applyFont="1" applyFill="1" applyBorder="1" applyAlignment="1">
      <alignment vertical="center"/>
    </xf>
    <xf numFmtId="44" fontId="57" fillId="14" borderId="65" xfId="8" applyFont="1" applyFill="1" applyBorder="1" applyAlignment="1">
      <alignment vertical="center"/>
    </xf>
    <xf numFmtId="44" fontId="56" fillId="14" borderId="65" xfId="8" applyFont="1" applyFill="1" applyBorder="1" applyAlignment="1">
      <alignment vertical="center"/>
    </xf>
    <xf numFmtId="44" fontId="56" fillId="14" borderId="80" xfId="8" applyFont="1" applyFill="1" applyBorder="1" applyAlignment="1">
      <alignment vertical="center"/>
    </xf>
    <xf numFmtId="10" fontId="57" fillId="15" borderId="0" xfId="0" applyNumberFormat="1" applyFont="1" applyFill="1" applyAlignment="1">
      <alignment horizontal="center" vertical="center"/>
    </xf>
    <xf numFmtId="0" fontId="57" fillId="11" borderId="60" xfId="0" applyFont="1" applyFill="1" applyBorder="1" applyAlignment="1">
      <alignment horizontal="left" vertical="center" wrapText="1"/>
    </xf>
    <xf numFmtId="0" fontId="60" fillId="11" borderId="60" xfId="0" applyFont="1" applyFill="1" applyBorder="1" applyAlignment="1">
      <alignment horizontal="left" vertical="center" wrapText="1"/>
    </xf>
    <xf numFmtId="44" fontId="62" fillId="13" borderId="56" xfId="8" applyFont="1" applyFill="1" applyBorder="1" applyAlignment="1">
      <alignment vertical="center"/>
    </xf>
    <xf numFmtId="44" fontId="65" fillId="13" borderId="7" xfId="8" applyFont="1" applyFill="1" applyBorder="1" applyAlignment="1">
      <alignment vertical="center"/>
    </xf>
    <xf numFmtId="44" fontId="60" fillId="13" borderId="56" xfId="8" applyFont="1" applyFill="1" applyBorder="1" applyAlignment="1">
      <alignment vertical="center"/>
    </xf>
    <xf numFmtId="10" fontId="57" fillId="15" borderId="33" xfId="0" applyNumberFormat="1" applyFont="1" applyFill="1" applyBorder="1" applyAlignment="1">
      <alignment horizontal="center" vertical="center"/>
    </xf>
    <xf numFmtId="10" fontId="57" fillId="15" borderId="59" xfId="0" applyNumberFormat="1" applyFont="1" applyFill="1" applyBorder="1" applyAlignment="1">
      <alignment horizontal="center" vertical="center"/>
    </xf>
    <xf numFmtId="171" fontId="30" fillId="10" borderId="18" xfId="0" applyNumberFormat="1" applyFont="1" applyFill="1" applyBorder="1" applyAlignment="1">
      <alignment horizontal="right"/>
    </xf>
    <xf numFmtId="44" fontId="30" fillId="10" borderId="0" xfId="0" applyNumberFormat="1" applyFont="1" applyFill="1" applyAlignment="1">
      <alignment horizontal="right"/>
    </xf>
    <xf numFmtId="44" fontId="56" fillId="15" borderId="0" xfId="0" applyNumberFormat="1" applyFont="1" applyFill="1"/>
    <xf numFmtId="0" fontId="50" fillId="14" borderId="0" xfId="0" applyFont="1" applyFill="1"/>
    <xf numFmtId="44" fontId="56" fillId="14" borderId="0" xfId="0" applyNumberFormat="1" applyFont="1" applyFill="1"/>
    <xf numFmtId="44" fontId="56" fillId="14" borderId="18" xfId="8" applyFont="1" applyFill="1" applyBorder="1"/>
    <xf numFmtId="44" fontId="30" fillId="17" borderId="12" xfId="8" applyFont="1" applyFill="1" applyBorder="1" applyAlignment="1">
      <alignment horizontal="center"/>
    </xf>
    <xf numFmtId="44" fontId="30" fillId="17" borderId="75" xfId="8" applyFont="1" applyFill="1" applyBorder="1" applyAlignment="1">
      <alignment horizontal="center"/>
    </xf>
    <xf numFmtId="49" fontId="57" fillId="0" borderId="70" xfId="0" applyNumberFormat="1" applyFont="1" applyBorder="1" applyAlignment="1">
      <alignment horizontal="left" vertical="center" wrapText="1"/>
    </xf>
    <xf numFmtId="44" fontId="30" fillId="17" borderId="6" xfId="8" applyFont="1" applyFill="1" applyBorder="1" applyAlignment="1">
      <alignment horizontal="center"/>
    </xf>
    <xf numFmtId="44" fontId="30" fillId="17" borderId="83" xfId="8" applyFont="1" applyFill="1" applyBorder="1" applyAlignment="1">
      <alignment horizontal="center"/>
    </xf>
    <xf numFmtId="44" fontId="50" fillId="0" borderId="0" xfId="0" applyNumberFormat="1" applyFont="1"/>
    <xf numFmtId="0" fontId="28" fillId="12" borderId="85" xfId="0" applyFont="1" applyFill="1" applyBorder="1" applyAlignment="1">
      <alignment horizontal="center" vertical="center"/>
    </xf>
    <xf numFmtId="0" fontId="48" fillId="0" borderId="58" xfId="0" applyFont="1" applyBorder="1" applyAlignment="1">
      <alignment horizontal="left" vertical="center" wrapText="1"/>
    </xf>
    <xf numFmtId="0" fontId="48" fillId="0" borderId="58" xfId="0" applyFont="1" applyBorder="1" applyAlignment="1">
      <alignment horizontal="center" vertical="center"/>
    </xf>
    <xf numFmtId="44" fontId="48" fillId="0" borderId="58" xfId="8" applyFont="1" applyBorder="1" applyAlignment="1">
      <alignment vertical="center"/>
    </xf>
    <xf numFmtId="0" fontId="41" fillId="0" borderId="58" xfId="0" applyFont="1" applyBorder="1"/>
    <xf numFmtId="0" fontId="53" fillId="20" borderId="0" xfId="0" applyFont="1" applyFill="1" applyAlignment="1">
      <alignment horizontal="left"/>
    </xf>
    <xf numFmtId="0" fontId="50" fillId="20" borderId="0" xfId="0" applyFont="1" applyFill="1" applyAlignment="1">
      <alignment horizontal="center"/>
    </xf>
    <xf numFmtId="0" fontId="50" fillId="20" borderId="0" xfId="0" applyFont="1" applyFill="1"/>
    <xf numFmtId="170" fontId="56" fillId="6" borderId="53" xfId="1" applyNumberFormat="1" applyFont="1" applyFill="1" applyBorder="1" applyAlignment="1">
      <alignment horizontal="center" vertical="center" wrapText="1"/>
    </xf>
    <xf numFmtId="10" fontId="56" fillId="6" borderId="53" xfId="1" applyNumberFormat="1" applyFont="1" applyFill="1" applyBorder="1" applyAlignment="1">
      <alignment horizontal="center" vertical="center" wrapText="1"/>
    </xf>
    <xf numFmtId="0" fontId="56" fillId="12" borderId="85" xfId="0" applyFont="1" applyFill="1" applyBorder="1" applyAlignment="1">
      <alignment horizontal="center" vertical="center"/>
    </xf>
    <xf numFmtId="0" fontId="30" fillId="10" borderId="91" xfId="0" applyFont="1" applyFill="1" applyBorder="1" applyAlignment="1">
      <alignment horizontal="left"/>
    </xf>
    <xf numFmtId="44" fontId="60" fillId="0" borderId="67" xfId="8" applyFont="1" applyBorder="1" applyAlignment="1">
      <alignment vertical="center"/>
    </xf>
    <xf numFmtId="44" fontId="60" fillId="13" borderId="58" xfId="8" applyFont="1" applyFill="1" applyBorder="1" applyAlignment="1">
      <alignment vertical="center"/>
    </xf>
    <xf numFmtId="44" fontId="66" fillId="0" borderId="58" xfId="8" applyFont="1" applyBorder="1"/>
    <xf numFmtId="44" fontId="67" fillId="0" borderId="58" xfId="8" applyFont="1" applyBorder="1"/>
    <xf numFmtId="44" fontId="57" fillId="0" borderId="58" xfId="8" applyFont="1" applyFill="1" applyBorder="1" applyAlignment="1">
      <alignment vertical="center"/>
    </xf>
    <xf numFmtId="1" fontId="61" fillId="13" borderId="7" xfId="0" applyNumberFormat="1" applyFont="1" applyFill="1" applyBorder="1" applyAlignment="1">
      <alignment horizontal="center" vertical="center"/>
    </xf>
    <xf numFmtId="0" fontId="60" fillId="0" borderId="58" xfId="0" applyFont="1" applyBorder="1" applyAlignment="1">
      <alignment horizontal="left" vertical="center" wrapText="1"/>
    </xf>
    <xf numFmtId="0" fontId="60" fillId="0" borderId="58" xfId="0" applyFont="1" applyBorder="1" applyAlignment="1">
      <alignment horizontal="center" vertical="center"/>
    </xf>
    <xf numFmtId="44" fontId="60" fillId="0" borderId="58" xfId="8" applyFont="1" applyFill="1" applyBorder="1" applyAlignment="1">
      <alignment vertical="center"/>
    </xf>
    <xf numFmtId="44" fontId="60" fillId="0" borderId="58" xfId="8" applyFont="1" applyBorder="1" applyAlignment="1">
      <alignment vertical="center"/>
    </xf>
    <xf numFmtId="0" fontId="50" fillId="0" borderId="58" xfId="0" applyFont="1" applyBorder="1"/>
    <xf numFmtId="1" fontId="60" fillId="13" borderId="7" xfId="0" applyNumberFormat="1" applyFont="1" applyFill="1" applyBorder="1" applyAlignment="1">
      <alignment horizontal="center" vertical="center"/>
    </xf>
    <xf numFmtId="171" fontId="30" fillId="10" borderId="86" xfId="0" applyNumberFormat="1" applyFont="1" applyFill="1" applyBorder="1" applyAlignment="1">
      <alignment horizontal="right"/>
    </xf>
    <xf numFmtId="44" fontId="56" fillId="14" borderId="86" xfId="8" applyFont="1" applyFill="1" applyBorder="1"/>
    <xf numFmtId="171" fontId="50" fillId="0" borderId="0" xfId="0" applyNumberFormat="1" applyFont="1"/>
    <xf numFmtId="0" fontId="6" fillId="6" borderId="53" xfId="3" applyFont="1" applyFill="1" applyBorder="1" applyAlignment="1">
      <alignment horizontal="center" vertical="center"/>
    </xf>
    <xf numFmtId="0" fontId="40" fillId="0" borderId="66" xfId="0" applyFont="1" applyBorder="1" applyAlignment="1">
      <alignment horizontal="left" vertical="center" wrapText="1"/>
    </xf>
    <xf numFmtId="0" fontId="40" fillId="0" borderId="67" xfId="0" applyFont="1" applyBorder="1" applyAlignment="1">
      <alignment horizontal="left" vertical="center" wrapText="1"/>
    </xf>
    <xf numFmtId="0" fontId="40" fillId="0" borderId="67" xfId="0" applyFont="1" applyBorder="1" applyAlignment="1">
      <alignment horizontal="center" vertical="center"/>
    </xf>
    <xf numFmtId="8" fontId="40" fillId="0" borderId="67" xfId="8" applyNumberFormat="1" applyFont="1" applyBorder="1" applyAlignment="1">
      <alignment vertical="center"/>
    </xf>
    <xf numFmtId="44" fontId="40" fillId="0" borderId="81" xfId="8" applyFont="1" applyBorder="1" applyAlignment="1">
      <alignment vertical="center"/>
    </xf>
    <xf numFmtId="0" fontId="40" fillId="32" borderId="58" xfId="2" quotePrefix="1" applyFont="1" applyFill="1" applyBorder="1" applyAlignment="1">
      <alignment horizontal="center" vertical="center"/>
    </xf>
    <xf numFmtId="0" fontId="40" fillId="32" borderId="59" xfId="0" applyFont="1" applyFill="1" applyBorder="1" applyAlignment="1">
      <alignment horizontal="center" vertical="center"/>
    </xf>
    <xf numFmtId="44" fontId="48" fillId="32" borderId="59" xfId="8" applyFont="1" applyFill="1" applyBorder="1" applyAlignment="1">
      <alignment vertical="center"/>
    </xf>
    <xf numFmtId="0" fontId="48" fillId="0" borderId="60" xfId="0" applyFont="1" applyBorder="1" applyAlignment="1">
      <alignment horizontal="left" vertical="center" wrapText="1"/>
    </xf>
    <xf numFmtId="44" fontId="48" fillId="0" borderId="74" xfId="8" applyFont="1" applyBorder="1" applyAlignment="1">
      <alignment vertical="center"/>
    </xf>
    <xf numFmtId="44" fontId="27" fillId="17" borderId="85" xfId="8" applyFont="1" applyFill="1" applyBorder="1" applyAlignment="1">
      <alignment horizontal="center"/>
    </xf>
    <xf numFmtId="44" fontId="27" fillId="17" borderId="85" xfId="0" applyNumberFormat="1" applyFont="1" applyFill="1" applyBorder="1"/>
    <xf numFmtId="44" fontId="27" fillId="17" borderId="87" xfId="8" applyFont="1" applyFill="1" applyBorder="1" applyAlignment="1">
      <alignment horizontal="center"/>
    </xf>
    <xf numFmtId="44" fontId="68" fillId="13" borderId="7" xfId="8" applyFont="1" applyFill="1" applyBorder="1" applyAlignment="1">
      <alignment vertical="center"/>
    </xf>
    <xf numFmtId="0" fontId="40" fillId="0" borderId="43" xfId="0" applyFont="1" applyBorder="1" applyAlignment="1">
      <alignment horizontal="left" vertical="center" wrapText="1"/>
    </xf>
    <xf numFmtId="0" fontId="40" fillId="0" borderId="45" xfId="0" applyFont="1" applyBorder="1" applyAlignment="1">
      <alignment horizontal="left" vertical="center" wrapText="1"/>
    </xf>
    <xf numFmtId="44" fontId="27" fillId="17" borderId="11" xfId="8" applyFont="1" applyFill="1" applyBorder="1" applyAlignment="1">
      <alignment horizontal="center"/>
    </xf>
    <xf numFmtId="44" fontId="27" fillId="17" borderId="89" xfId="8" applyFont="1" applyFill="1" applyBorder="1" applyAlignment="1">
      <alignment horizontal="center"/>
    </xf>
    <xf numFmtId="0" fontId="40" fillId="0" borderId="55" xfId="0" applyFont="1" applyBorder="1" applyAlignment="1">
      <alignment horizontal="left" vertical="center" wrapText="1"/>
    </xf>
    <xf numFmtId="0" fontId="40" fillId="0" borderId="71" xfId="0" applyFont="1" applyBorder="1" applyAlignment="1">
      <alignment horizontal="left" vertical="center" wrapText="1"/>
    </xf>
    <xf numFmtId="0" fontId="27" fillId="17" borderId="6" xfId="0" applyFont="1" applyFill="1" applyBorder="1"/>
    <xf numFmtId="0" fontId="27" fillId="17" borderId="35" xfId="0" applyFont="1" applyFill="1" applyBorder="1"/>
    <xf numFmtId="0" fontId="27" fillId="17" borderId="35" xfId="0" applyFont="1" applyFill="1" applyBorder="1" applyAlignment="1">
      <alignment horizontal="center"/>
    </xf>
    <xf numFmtId="44" fontId="27" fillId="17" borderId="35" xfId="0" applyNumberFormat="1" applyFont="1" applyFill="1" applyBorder="1"/>
    <xf numFmtId="44" fontId="27" fillId="17" borderId="88" xfId="0" applyNumberFormat="1" applyFont="1" applyFill="1" applyBorder="1"/>
    <xf numFmtId="0" fontId="27" fillId="17" borderId="6" xfId="0" applyFont="1" applyFill="1" applyBorder="1" applyAlignment="1">
      <alignment horizontal="center"/>
    </xf>
    <xf numFmtId="9" fontId="27" fillId="17" borderId="14" xfId="1" applyFont="1" applyFill="1" applyBorder="1"/>
    <xf numFmtId="44" fontId="27" fillId="17" borderId="90" xfId="8" applyFont="1" applyFill="1" applyBorder="1"/>
    <xf numFmtId="164" fontId="52" fillId="0" borderId="19" xfId="2" applyNumberFormat="1" applyFont="1" applyBorder="1" applyAlignment="1" applyProtection="1">
      <alignment horizontal="left" vertical="center"/>
      <protection locked="0"/>
    </xf>
    <xf numFmtId="164" fontId="52" fillId="0" borderId="30" xfId="2" applyNumberFormat="1" applyFont="1" applyBorder="1" applyAlignment="1" applyProtection="1">
      <alignment horizontal="left" vertical="center"/>
      <protection locked="0"/>
    </xf>
    <xf numFmtId="0" fontId="52" fillId="0" borderId="23" xfId="2" applyFont="1" applyBorder="1" applyAlignment="1" applyProtection="1">
      <alignment horizontal="left" vertical="center"/>
      <protection locked="0"/>
    </xf>
    <xf numFmtId="14" fontId="52" fillId="0" borderId="30" xfId="2" applyNumberFormat="1" applyFont="1" applyBorder="1" applyAlignment="1" applyProtection="1">
      <alignment horizontal="left" vertical="center"/>
      <protection locked="0"/>
    </xf>
    <xf numFmtId="0" fontId="52" fillId="0" borderId="26" xfId="2" applyFont="1" applyBorder="1" applyAlignment="1" applyProtection="1">
      <alignment horizontal="left" vertical="center"/>
      <protection locked="0"/>
    </xf>
    <xf numFmtId="0" fontId="52" fillId="6" borderId="53" xfId="3" applyFont="1" applyFill="1" applyBorder="1" applyAlignment="1">
      <alignment horizontal="center" vertical="center"/>
    </xf>
    <xf numFmtId="44" fontId="70" fillId="13" borderId="7" xfId="8" applyFont="1" applyFill="1" applyBorder="1" applyAlignment="1">
      <alignment vertical="center"/>
    </xf>
    <xf numFmtId="44" fontId="57" fillId="16" borderId="58" xfId="8" applyFont="1" applyFill="1" applyBorder="1" applyAlignment="1">
      <alignment vertical="center"/>
    </xf>
    <xf numFmtId="0" fontId="57" fillId="27" borderId="60" xfId="0" applyFont="1" applyFill="1" applyBorder="1" applyAlignment="1">
      <alignment horizontal="left" vertical="center" wrapText="1"/>
    </xf>
    <xf numFmtId="0" fontId="57" fillId="27" borderId="58" xfId="0" applyFont="1" applyFill="1" applyBorder="1" applyAlignment="1">
      <alignment horizontal="left" vertical="center" wrapText="1"/>
    </xf>
    <xf numFmtId="44" fontId="57" fillId="19" borderId="7" xfId="8" applyFont="1" applyFill="1" applyBorder="1" applyAlignment="1">
      <alignment vertical="center"/>
    </xf>
    <xf numFmtId="44" fontId="65" fillId="27" borderId="7" xfId="8" applyFont="1" applyFill="1" applyBorder="1" applyAlignment="1">
      <alignment vertical="center"/>
    </xf>
    <xf numFmtId="16" fontId="50" fillId="0" borderId="0" xfId="0" applyNumberFormat="1" applyFont="1"/>
    <xf numFmtId="0" fontId="57" fillId="19" borderId="60" xfId="0" applyFont="1" applyFill="1" applyBorder="1" applyAlignment="1">
      <alignment horizontal="left" vertical="center" wrapText="1"/>
    </xf>
    <xf numFmtId="1" fontId="57" fillId="16" borderId="73" xfId="0" applyNumberFormat="1" applyFont="1" applyFill="1" applyBorder="1" applyAlignment="1">
      <alignment horizontal="center" vertical="center"/>
    </xf>
    <xf numFmtId="1" fontId="57" fillId="16" borderId="7" xfId="0" applyNumberFormat="1" applyFont="1" applyFill="1" applyBorder="1" applyAlignment="1">
      <alignment horizontal="center" vertical="center"/>
    </xf>
    <xf numFmtId="44" fontId="61" fillId="16" borderId="7" xfId="8" applyFont="1" applyFill="1" applyBorder="1" applyAlignment="1">
      <alignment vertical="center"/>
    </xf>
    <xf numFmtId="0" fontId="57" fillId="0" borderId="43" xfId="0" applyFont="1" applyBorder="1" applyAlignment="1">
      <alignment horizontal="left" vertical="center" wrapText="1"/>
    </xf>
    <xf numFmtId="0" fontId="57" fillId="0" borderId="45" xfId="0" applyFont="1" applyBorder="1" applyAlignment="1">
      <alignment horizontal="left" vertical="center" wrapText="1"/>
    </xf>
    <xf numFmtId="44" fontId="56" fillId="14" borderId="0" xfId="8" applyFont="1" applyFill="1" applyBorder="1"/>
    <xf numFmtId="44" fontId="30" fillId="17" borderId="11" xfId="8" applyFont="1" applyFill="1" applyBorder="1" applyAlignment="1">
      <alignment horizontal="center"/>
    </xf>
    <xf numFmtId="44" fontId="30" fillId="17" borderId="89" xfId="8" applyFont="1" applyFill="1" applyBorder="1" applyAlignment="1">
      <alignment horizontal="center"/>
    </xf>
    <xf numFmtId="0" fontId="57" fillId="0" borderId="55" xfId="0" applyFont="1" applyBorder="1" applyAlignment="1">
      <alignment horizontal="left" vertical="center" wrapText="1"/>
    </xf>
    <xf numFmtId="0" fontId="57" fillId="0" borderId="71" xfId="0" applyFont="1" applyBorder="1" applyAlignment="1">
      <alignment horizontal="left" vertical="center" wrapText="1"/>
    </xf>
    <xf numFmtId="16" fontId="26" fillId="33" borderId="11" xfId="0" applyNumberFormat="1" applyFont="1" applyFill="1" applyBorder="1"/>
    <xf numFmtId="16" fontId="26" fillId="33" borderId="12" xfId="0" applyNumberFormat="1" applyFont="1" applyFill="1" applyBorder="1"/>
    <xf numFmtId="16" fontId="26" fillId="34" borderId="14" xfId="0" applyNumberFormat="1" applyFont="1" applyFill="1" applyBorder="1"/>
    <xf numFmtId="16" fontId="26" fillId="34" borderId="15" xfId="0" applyNumberFormat="1" applyFont="1" applyFill="1" applyBorder="1"/>
    <xf numFmtId="0" fontId="26" fillId="35" borderId="17" xfId="0" applyFont="1" applyFill="1" applyBorder="1" applyAlignment="1">
      <alignment horizontal="right"/>
    </xf>
    <xf numFmtId="0" fontId="26" fillId="35" borderId="0" xfId="0" applyFont="1" applyFill="1" applyAlignment="1">
      <alignment horizontal="right"/>
    </xf>
    <xf numFmtId="0" fontId="31" fillId="18" borderId="14" xfId="0" applyFont="1" applyFill="1" applyBorder="1"/>
    <xf numFmtId="0" fontId="31" fillId="18" borderId="15" xfId="0" applyFont="1" applyFill="1" applyBorder="1"/>
    <xf numFmtId="164" fontId="4" fillId="0" borderId="0" xfId="2" applyNumberFormat="1" applyFont="1" applyAlignment="1" applyProtection="1">
      <alignment horizontal="left" vertical="center"/>
      <protection locked="0"/>
    </xf>
    <xf numFmtId="0" fontId="4" fillId="0" borderId="0" xfId="2" applyFont="1" applyAlignment="1" applyProtection="1">
      <alignment horizontal="left" vertical="center"/>
      <protection locked="0"/>
    </xf>
    <xf numFmtId="14" fontId="4" fillId="0" borderId="0" xfId="2" applyNumberFormat="1" applyFont="1" applyAlignment="1" applyProtection="1">
      <alignment horizontal="left" vertical="center"/>
      <protection locked="0"/>
    </xf>
    <xf numFmtId="0" fontId="20" fillId="36" borderId="58" xfId="0" applyFont="1" applyFill="1" applyBorder="1" applyAlignment="1">
      <alignment horizontal="center"/>
    </xf>
    <xf numFmtId="164" fontId="4" fillId="0" borderId="58" xfId="2" applyNumberFormat="1" applyFont="1" applyBorder="1" applyAlignment="1" applyProtection="1">
      <alignment horizontal="left" vertical="center"/>
      <protection locked="0"/>
    </xf>
    <xf numFmtId="44" fontId="20" fillId="0" borderId="58" xfId="0" applyNumberFormat="1" applyFont="1" applyBorder="1"/>
    <xf numFmtId="9" fontId="20" fillId="0" borderId="58" xfId="1" applyFont="1" applyBorder="1" applyAlignment="1">
      <alignment horizontal="center"/>
    </xf>
    <xf numFmtId="44" fontId="20" fillId="36" borderId="58" xfId="0" applyNumberFormat="1" applyFont="1" applyFill="1" applyBorder="1" applyAlignment="1">
      <alignment horizontal="center"/>
    </xf>
    <xf numFmtId="0" fontId="31" fillId="0" borderId="0" xfId="0" applyFont="1" applyAlignment="1">
      <alignment horizontal="right"/>
    </xf>
    <xf numFmtId="171" fontId="37" fillId="0" borderId="0" xfId="8" applyNumberFormat="1" applyFont="1"/>
    <xf numFmtId="171" fontId="20" fillId="0" borderId="93" xfId="0" applyNumberFormat="1" applyFont="1" applyBorder="1" applyAlignment="1">
      <alignment horizontal="center"/>
    </xf>
    <xf numFmtId="9" fontId="20" fillId="0" borderId="94" xfId="1" applyFont="1" applyBorder="1" applyAlignment="1">
      <alignment horizontal="center"/>
    </xf>
    <xf numFmtId="0" fontId="20" fillId="0" borderId="96" xfId="0" applyFont="1" applyBorder="1"/>
    <xf numFmtId="171" fontId="20" fillId="0" borderId="57" xfId="0" applyNumberFormat="1" applyFont="1" applyBorder="1" applyAlignment="1">
      <alignment horizontal="center" vertical="center"/>
    </xf>
    <xf numFmtId="0" fontId="20" fillId="0" borderId="0" xfId="0" applyFont="1"/>
    <xf numFmtId="171" fontId="20" fillId="36" borderId="67" xfId="0" applyNumberFormat="1" applyFont="1" applyFill="1" applyBorder="1" applyAlignment="1">
      <alignment horizontal="center"/>
    </xf>
    <xf numFmtId="171" fontId="20" fillId="36" borderId="58" xfId="0" applyNumberFormat="1" applyFont="1" applyFill="1" applyBorder="1"/>
    <xf numFmtId="171" fontId="26" fillId="0" borderId="0" xfId="0" applyNumberFormat="1" applyFont="1"/>
    <xf numFmtId="44" fontId="29" fillId="0" borderId="0" xfId="0" applyNumberFormat="1" applyFont="1"/>
    <xf numFmtId="0" fontId="71" fillId="0" borderId="0" xfId="0" applyFont="1"/>
    <xf numFmtId="44" fontId="0" fillId="0" borderId="0" xfId="8" applyFont="1"/>
    <xf numFmtId="44" fontId="72" fillId="0" borderId="0" xfId="8" applyFont="1"/>
    <xf numFmtId="0" fontId="72" fillId="0" borderId="0" xfId="0" applyFont="1"/>
    <xf numFmtId="44" fontId="20" fillId="0" borderId="96" xfId="8" applyFont="1" applyBorder="1"/>
    <xf numFmtId="0" fontId="73" fillId="0" borderId="0" xfId="0" applyFont="1"/>
    <xf numFmtId="0" fontId="6" fillId="0" borderId="0" xfId="0" applyFont="1" applyAlignment="1">
      <alignment horizontal="left"/>
    </xf>
    <xf numFmtId="44" fontId="73" fillId="0" borderId="0" xfId="0" applyNumberFormat="1" applyFont="1"/>
    <xf numFmtId="9" fontId="42" fillId="0" borderId="0" xfId="1" applyFont="1"/>
    <xf numFmtId="0" fontId="42" fillId="0" borderId="0" xfId="0" applyFont="1"/>
    <xf numFmtId="44" fontId="26" fillId="0" borderId="89" xfId="0" applyNumberFormat="1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20" fillId="36" borderId="6" xfId="0" applyFont="1" applyFill="1" applyBorder="1" applyAlignment="1">
      <alignment horizontal="center"/>
    </xf>
    <xf numFmtId="0" fontId="20" fillId="36" borderId="35" xfId="0" applyFont="1" applyFill="1" applyBorder="1" applyAlignment="1">
      <alignment horizontal="center"/>
    </xf>
    <xf numFmtId="0" fontId="20" fillId="36" borderId="88" xfId="0" applyFont="1" applyFill="1" applyBorder="1" applyAlignment="1">
      <alignment horizontal="center"/>
    </xf>
    <xf numFmtId="171" fontId="20" fillId="0" borderId="57" xfId="0" applyNumberFormat="1" applyFont="1" applyBorder="1" applyAlignment="1">
      <alignment horizontal="center" vertical="center"/>
    </xf>
    <xf numFmtId="171" fontId="20" fillId="0" borderId="72" xfId="0" applyNumberFormat="1" applyFont="1" applyBorder="1" applyAlignment="1">
      <alignment horizontal="center" vertical="center"/>
    </xf>
    <xf numFmtId="171" fontId="20" fillId="0" borderId="95" xfId="0" applyNumberFormat="1" applyFont="1" applyBorder="1" applyAlignment="1">
      <alignment horizontal="center" vertical="center"/>
    </xf>
    <xf numFmtId="0" fontId="30" fillId="9" borderId="61" xfId="0" applyFont="1" applyFill="1" applyBorder="1" applyAlignment="1">
      <alignment horizontal="center"/>
    </xf>
    <xf numFmtId="0" fontId="30" fillId="9" borderId="8" xfId="0" applyFont="1" applyFill="1" applyBorder="1" applyAlignment="1">
      <alignment horizontal="center"/>
    </xf>
    <xf numFmtId="0" fontId="30" fillId="10" borderId="91" xfId="0" applyFont="1" applyFill="1" applyBorder="1" applyAlignment="1">
      <alignment horizontal="left"/>
    </xf>
    <xf numFmtId="0" fontId="30" fillId="10" borderId="92" xfId="0" applyFont="1" applyFill="1" applyBorder="1" applyAlignment="1">
      <alignment horizontal="left"/>
    </xf>
    <xf numFmtId="0" fontId="30" fillId="10" borderId="11" xfId="0" applyFont="1" applyFill="1" applyBorder="1" applyAlignment="1">
      <alignment horizontal="left"/>
    </xf>
    <xf numFmtId="0" fontId="30" fillId="10" borderId="12" xfId="0" applyFont="1" applyFill="1" applyBorder="1" applyAlignment="1">
      <alignment horizontal="left"/>
    </xf>
    <xf numFmtId="0" fontId="30" fillId="10" borderId="62" xfId="0" applyFont="1" applyFill="1" applyBorder="1" applyAlignment="1">
      <alignment horizontal="left"/>
    </xf>
    <xf numFmtId="0" fontId="30" fillId="10" borderId="75" xfId="0" applyFont="1" applyFill="1" applyBorder="1" applyAlignment="1">
      <alignment horizontal="left"/>
    </xf>
    <xf numFmtId="0" fontId="30" fillId="9" borderId="17" xfId="0" applyFont="1" applyFill="1" applyBorder="1" applyAlignment="1">
      <alignment horizontal="center"/>
    </xf>
    <xf numFmtId="0" fontId="30" fillId="9" borderId="0" xfId="0" applyFont="1" applyFill="1" applyAlignment="1">
      <alignment horizontal="center"/>
    </xf>
    <xf numFmtId="0" fontId="30" fillId="9" borderId="18" xfId="0" applyFont="1" applyFill="1" applyBorder="1" applyAlignment="1">
      <alignment horizontal="center"/>
    </xf>
    <xf numFmtId="0" fontId="30" fillId="9" borderId="11" xfId="0" applyFont="1" applyFill="1" applyBorder="1" applyAlignment="1">
      <alignment horizontal="center"/>
    </xf>
    <xf numFmtId="0" fontId="30" fillId="9" borderId="12" xfId="0" applyFont="1" applyFill="1" applyBorder="1" applyAlignment="1">
      <alignment horizontal="center"/>
    </xf>
    <xf numFmtId="0" fontId="30" fillId="9" borderId="75" xfId="0" applyFont="1" applyFill="1" applyBorder="1" applyAlignment="1">
      <alignment horizontal="center"/>
    </xf>
    <xf numFmtId="0" fontId="30" fillId="10" borderId="64" xfId="0" applyFont="1" applyFill="1" applyBorder="1" applyAlignment="1">
      <alignment horizontal="left"/>
    </xf>
    <xf numFmtId="0" fontId="30" fillId="10" borderId="65" xfId="0" applyFont="1" applyFill="1" applyBorder="1" applyAlignment="1">
      <alignment horizontal="left"/>
    </xf>
    <xf numFmtId="0" fontId="30" fillId="10" borderId="14" xfId="0" applyFont="1" applyFill="1" applyBorder="1" applyAlignment="1">
      <alignment horizontal="left"/>
    </xf>
    <xf numFmtId="0" fontId="30" fillId="10" borderId="15" xfId="0" applyFont="1" applyFill="1" applyBorder="1" applyAlignment="1">
      <alignment horizontal="left"/>
    </xf>
    <xf numFmtId="0" fontId="30" fillId="9" borderId="77" xfId="0" applyFont="1" applyFill="1" applyBorder="1" applyAlignment="1">
      <alignment horizontal="center"/>
    </xf>
    <xf numFmtId="0" fontId="30" fillId="10" borderId="73" xfId="0" applyFont="1" applyFill="1" applyBorder="1" applyAlignment="1">
      <alignment horizontal="left"/>
    </xf>
    <xf numFmtId="0" fontId="30" fillId="10" borderId="9" xfId="0" applyFont="1" applyFill="1" applyBorder="1" applyAlignment="1">
      <alignment horizontal="left"/>
    </xf>
    <xf numFmtId="166" fontId="54" fillId="0" borderId="38" xfId="4" applyNumberFormat="1" applyFont="1" applyBorder="1" applyAlignment="1">
      <alignment horizontal="center" vertical="center" wrapText="1"/>
    </xf>
    <xf numFmtId="166" fontId="54" fillId="0" borderId="39" xfId="4" applyNumberFormat="1" applyFont="1" applyBorder="1" applyAlignment="1">
      <alignment horizontal="center" vertical="center" wrapText="1"/>
    </xf>
    <xf numFmtId="0" fontId="52" fillId="0" borderId="0" xfId="2" applyFont="1" applyAlignment="1">
      <alignment horizontal="left" vertical="center" wrapText="1"/>
    </xf>
    <xf numFmtId="0" fontId="52" fillId="0" borderId="0" xfId="2" applyFont="1" applyAlignment="1">
      <alignment horizontal="left" vertical="top"/>
    </xf>
    <xf numFmtId="0" fontId="54" fillId="2" borderId="3" xfId="3" applyFont="1" applyFill="1" applyBorder="1" applyAlignment="1">
      <alignment horizontal="center" vertical="center"/>
    </xf>
    <xf numFmtId="0" fontId="54" fillId="2" borderId="4" xfId="3" applyFont="1" applyFill="1" applyBorder="1" applyAlignment="1">
      <alignment horizontal="center" vertical="center"/>
    </xf>
    <xf numFmtId="0" fontId="54" fillId="2" borderId="5" xfId="3" applyFont="1" applyFill="1" applyBorder="1" applyAlignment="1">
      <alignment horizontal="center" vertical="center"/>
    </xf>
    <xf numFmtId="0" fontId="54" fillId="3" borderId="6" xfId="0" applyFont="1" applyFill="1" applyBorder="1" applyAlignment="1">
      <alignment horizontal="center" vertical="center" wrapText="1"/>
    </xf>
    <xf numFmtId="0" fontId="54" fillId="3" borderId="35" xfId="0" applyFont="1" applyFill="1" applyBorder="1" applyAlignment="1">
      <alignment horizontal="center" vertical="center" wrapText="1"/>
    </xf>
    <xf numFmtId="0" fontId="54" fillId="3" borderId="5" xfId="0" applyFont="1" applyFill="1" applyBorder="1" applyAlignment="1">
      <alignment horizontal="center" vertical="center" wrapText="1"/>
    </xf>
    <xf numFmtId="166" fontId="54" fillId="4" borderId="6" xfId="4" applyNumberFormat="1" applyFont="1" applyFill="1" applyBorder="1" applyAlignment="1">
      <alignment horizontal="center" vertical="center" wrapText="1"/>
    </xf>
    <xf numFmtId="166" fontId="54" fillId="4" borderId="35" xfId="4" applyNumberFormat="1" applyFont="1" applyFill="1" applyBorder="1" applyAlignment="1">
      <alignment horizontal="center" vertical="center" wrapText="1"/>
    </xf>
    <xf numFmtId="166" fontId="54" fillId="4" borderId="5" xfId="4" applyNumberFormat="1" applyFont="1" applyFill="1" applyBorder="1" applyAlignment="1">
      <alignment horizontal="center" vertical="center" wrapText="1"/>
    </xf>
    <xf numFmtId="166" fontId="54" fillId="4" borderId="17" xfId="4" applyNumberFormat="1" applyFont="1" applyFill="1" applyBorder="1" applyAlignment="1">
      <alignment horizontal="center" vertical="center" wrapText="1"/>
    </xf>
    <xf numFmtId="166" fontId="54" fillId="4" borderId="0" xfId="4" applyNumberFormat="1" applyFont="1" applyFill="1" applyBorder="1" applyAlignment="1">
      <alignment horizontal="center" vertical="center" wrapText="1"/>
    </xf>
    <xf numFmtId="0" fontId="30" fillId="10" borderId="61" xfId="0" applyFont="1" applyFill="1" applyBorder="1" applyAlignment="1">
      <alignment horizontal="left"/>
    </xf>
    <xf numFmtId="0" fontId="30" fillId="10" borderId="8" xfId="0" applyFont="1" applyFill="1" applyBorder="1" applyAlignment="1">
      <alignment horizontal="left"/>
    </xf>
    <xf numFmtId="1" fontId="30" fillId="10" borderId="64" xfId="0" applyNumberFormat="1" applyFont="1" applyFill="1" applyBorder="1" applyAlignment="1">
      <alignment horizontal="left"/>
    </xf>
    <xf numFmtId="1" fontId="30" fillId="10" borderId="65" xfId="0" applyNumberFormat="1" applyFont="1" applyFill="1" applyBorder="1" applyAlignment="1">
      <alignment horizontal="left"/>
    </xf>
    <xf numFmtId="0" fontId="30" fillId="9" borderId="85" xfId="0" applyFont="1" applyFill="1" applyBorder="1" applyAlignment="1">
      <alignment horizontal="center"/>
    </xf>
    <xf numFmtId="0" fontId="30" fillId="10" borderId="85" xfId="0" applyFont="1" applyFill="1" applyBorder="1" applyAlignment="1">
      <alignment horizontal="left"/>
    </xf>
    <xf numFmtId="0" fontId="5" fillId="0" borderId="6" xfId="2" applyFont="1" applyBorder="1" applyAlignment="1">
      <alignment horizontal="left" vertical="center" wrapText="1"/>
    </xf>
    <xf numFmtId="0" fontId="5" fillId="0" borderId="82" xfId="2" applyFont="1" applyBorder="1" applyAlignment="1">
      <alignment horizontal="left" vertical="center" wrapText="1"/>
    </xf>
    <xf numFmtId="0" fontId="5" fillId="0" borderId="0" xfId="2" applyFont="1" applyAlignment="1">
      <alignment horizontal="left" vertical="top"/>
    </xf>
    <xf numFmtId="0" fontId="8" fillId="2" borderId="3" xfId="3" applyFont="1" applyFill="1" applyBorder="1" applyAlignment="1">
      <alignment horizontal="center" vertical="center"/>
    </xf>
    <xf numFmtId="0" fontId="8" fillId="2" borderId="4" xfId="3" applyFont="1" applyFill="1" applyBorder="1" applyAlignment="1">
      <alignment horizontal="center" vertical="center"/>
    </xf>
    <xf numFmtId="0" fontId="8" fillId="2" borderId="5" xfId="3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 wrapText="1"/>
    </xf>
    <xf numFmtId="0" fontId="8" fillId="3" borderId="35" xfId="0" applyFont="1" applyFill="1" applyBorder="1" applyAlignment="1">
      <alignment horizontal="center" vertical="center" wrapText="1"/>
    </xf>
    <xf numFmtId="0" fontId="8" fillId="3" borderId="5" xfId="0" applyFont="1" applyFill="1" applyBorder="1" applyAlignment="1">
      <alignment horizontal="center" vertical="center" wrapText="1"/>
    </xf>
    <xf numFmtId="0" fontId="27" fillId="10" borderId="11" xfId="0" applyFont="1" applyFill="1" applyBorder="1" applyAlignment="1">
      <alignment horizontal="center"/>
    </xf>
    <xf numFmtId="0" fontId="27" fillId="10" borderId="12" xfId="0" applyFont="1" applyFill="1" applyBorder="1" applyAlignment="1">
      <alignment horizontal="center"/>
    </xf>
    <xf numFmtId="0" fontId="27" fillId="10" borderId="62" xfId="0" applyFont="1" applyFill="1" applyBorder="1" applyAlignment="1">
      <alignment horizontal="center"/>
    </xf>
    <xf numFmtId="0" fontId="27" fillId="10" borderId="11" xfId="0" applyFont="1" applyFill="1" applyBorder="1" applyAlignment="1">
      <alignment horizontal="left"/>
    </xf>
    <xf numFmtId="0" fontId="27" fillId="10" borderId="12" xfId="0" applyFont="1" applyFill="1" applyBorder="1" applyAlignment="1">
      <alignment horizontal="left"/>
    </xf>
    <xf numFmtId="0" fontId="27" fillId="10" borderId="75" xfId="0" applyFont="1" applyFill="1" applyBorder="1" applyAlignment="1">
      <alignment horizontal="left"/>
    </xf>
    <xf numFmtId="0" fontId="31" fillId="18" borderId="7" xfId="0" applyFont="1" applyFill="1" applyBorder="1" applyAlignment="1">
      <alignment horizontal="center" vertical="center" wrapText="1"/>
    </xf>
    <xf numFmtId="0" fontId="31" fillId="18" borderId="10" xfId="0" applyFont="1" applyFill="1" applyBorder="1" applyAlignment="1">
      <alignment horizontal="center" vertical="center" wrapText="1"/>
    </xf>
    <xf numFmtId="166" fontId="8" fillId="0" borderId="38" xfId="4" applyNumberFormat="1" applyFont="1" applyBorder="1" applyAlignment="1">
      <alignment horizontal="center" vertical="center" wrapText="1"/>
    </xf>
    <xf numFmtId="166" fontId="8" fillId="0" borderId="39" xfId="4" applyNumberFormat="1" applyFont="1" applyBorder="1" applyAlignment="1">
      <alignment horizontal="center" vertical="center" wrapText="1"/>
    </xf>
    <xf numFmtId="166" fontId="8" fillId="4" borderId="17" xfId="4" applyNumberFormat="1" applyFont="1" applyFill="1" applyBorder="1" applyAlignment="1">
      <alignment horizontal="center" vertical="center" wrapText="1"/>
    </xf>
    <xf numFmtId="166" fontId="8" fillId="4" borderId="0" xfId="4" applyNumberFormat="1" applyFont="1" applyFill="1" applyBorder="1" applyAlignment="1">
      <alignment horizontal="center" vertical="center" wrapText="1"/>
    </xf>
    <xf numFmtId="166" fontId="8" fillId="4" borderId="6" xfId="4" applyNumberFormat="1" applyFont="1" applyFill="1" applyBorder="1" applyAlignment="1">
      <alignment horizontal="center" vertical="center" wrapText="1"/>
    </xf>
    <xf numFmtId="166" fontId="8" fillId="4" borderId="35" xfId="4" applyNumberFormat="1" applyFont="1" applyFill="1" applyBorder="1" applyAlignment="1">
      <alignment horizontal="center" vertical="center" wrapText="1"/>
    </xf>
    <xf numFmtId="166" fontId="8" fillId="4" borderId="5" xfId="4" applyNumberFormat="1" applyFont="1" applyFill="1" applyBorder="1" applyAlignment="1">
      <alignment horizontal="center" vertical="center" wrapText="1"/>
    </xf>
    <xf numFmtId="0" fontId="27" fillId="9" borderId="61" xfId="0" applyFont="1" applyFill="1" applyBorder="1" applyAlignment="1">
      <alignment horizontal="center"/>
    </xf>
    <xf numFmtId="0" fontId="27" fillId="9" borderId="8" xfId="0" applyFont="1" applyFill="1" applyBorder="1" applyAlignment="1">
      <alignment horizontal="center"/>
    </xf>
    <xf numFmtId="0" fontId="27" fillId="9" borderId="77" xfId="0" applyFont="1" applyFill="1" applyBorder="1" applyAlignment="1">
      <alignment horizontal="center"/>
    </xf>
    <xf numFmtId="0" fontId="27" fillId="10" borderId="61" xfId="0" applyFont="1" applyFill="1" applyBorder="1" applyAlignment="1">
      <alignment horizontal="left"/>
    </xf>
    <xf numFmtId="0" fontId="27" fillId="10" borderId="8" xfId="0" applyFont="1" applyFill="1" applyBorder="1" applyAlignment="1">
      <alignment horizontal="left"/>
    </xf>
    <xf numFmtId="0" fontId="6" fillId="0" borderId="0" xfId="2" applyFont="1" applyAlignment="1">
      <alignment horizontal="left" vertical="center" wrapText="1"/>
    </xf>
    <xf numFmtId="0" fontId="6" fillId="0" borderId="0" xfId="2" applyFont="1" applyAlignment="1">
      <alignment horizontal="left" vertical="top"/>
    </xf>
    <xf numFmtId="0" fontId="44" fillId="2" borderId="3" xfId="3" applyFont="1" applyFill="1" applyBorder="1" applyAlignment="1">
      <alignment horizontal="center" vertical="center"/>
    </xf>
    <xf numFmtId="0" fontId="44" fillId="2" borderId="4" xfId="3" applyFont="1" applyFill="1" applyBorder="1" applyAlignment="1">
      <alignment horizontal="center" vertical="center"/>
    </xf>
    <xf numFmtId="0" fontId="44" fillId="2" borderId="5" xfId="3" applyFont="1" applyFill="1" applyBorder="1" applyAlignment="1">
      <alignment horizontal="center" vertical="center"/>
    </xf>
    <xf numFmtId="166" fontId="44" fillId="0" borderId="38" xfId="4" applyNumberFormat="1" applyFont="1" applyBorder="1" applyAlignment="1">
      <alignment horizontal="center" vertical="center" wrapText="1"/>
    </xf>
    <xf numFmtId="166" fontId="44" fillId="0" borderId="39" xfId="4" applyNumberFormat="1" applyFont="1" applyBorder="1" applyAlignment="1">
      <alignment horizontal="center" vertical="center" wrapText="1"/>
    </xf>
    <xf numFmtId="0" fontId="27" fillId="9" borderId="17" xfId="0" applyFont="1" applyFill="1" applyBorder="1" applyAlignment="1">
      <alignment horizontal="center"/>
    </xf>
    <xf numFmtId="0" fontId="27" fillId="9" borderId="0" xfId="0" applyFont="1" applyFill="1" applyAlignment="1">
      <alignment horizontal="center"/>
    </xf>
    <xf numFmtId="0" fontId="27" fillId="9" borderId="18" xfId="0" applyFont="1" applyFill="1" applyBorder="1" applyAlignment="1">
      <alignment horizontal="center"/>
    </xf>
    <xf numFmtId="0" fontId="27" fillId="9" borderId="11" xfId="0" applyFont="1" applyFill="1" applyBorder="1" applyAlignment="1">
      <alignment horizontal="center"/>
    </xf>
    <xf numFmtId="0" fontId="27" fillId="9" borderId="12" xfId="0" applyFont="1" applyFill="1" applyBorder="1" applyAlignment="1">
      <alignment horizontal="center"/>
    </xf>
    <xf numFmtId="0" fontId="27" fillId="9" borderId="85" xfId="0" applyFont="1" applyFill="1" applyBorder="1" applyAlignment="1">
      <alignment horizontal="center"/>
    </xf>
    <xf numFmtId="0" fontId="27" fillId="10" borderId="62" xfId="0" applyFont="1" applyFill="1" applyBorder="1" applyAlignment="1">
      <alignment horizontal="left"/>
    </xf>
    <xf numFmtId="0" fontId="27" fillId="10" borderId="85" xfId="0" applyFont="1" applyFill="1" applyBorder="1" applyAlignment="1">
      <alignment horizontal="left"/>
    </xf>
    <xf numFmtId="0" fontId="44" fillId="3" borderId="6" xfId="0" applyFont="1" applyFill="1" applyBorder="1" applyAlignment="1">
      <alignment horizontal="center" vertical="center" wrapText="1"/>
    </xf>
    <xf numFmtId="0" fontId="44" fillId="3" borderId="35" xfId="0" applyFont="1" applyFill="1" applyBorder="1" applyAlignment="1">
      <alignment horizontal="center" vertical="center" wrapText="1"/>
    </xf>
    <xf numFmtId="0" fontId="44" fillId="3" borderId="5" xfId="0" applyFont="1" applyFill="1" applyBorder="1" applyAlignment="1">
      <alignment horizontal="center" vertical="center" wrapText="1"/>
    </xf>
    <xf numFmtId="166" fontId="44" fillId="4" borderId="6" xfId="4" applyNumberFormat="1" applyFont="1" applyFill="1" applyBorder="1" applyAlignment="1">
      <alignment horizontal="center" vertical="center" wrapText="1"/>
    </xf>
    <xf numFmtId="166" fontId="44" fillId="4" borderId="35" xfId="4" applyNumberFormat="1" applyFont="1" applyFill="1" applyBorder="1" applyAlignment="1">
      <alignment horizontal="center" vertical="center" wrapText="1"/>
    </xf>
    <xf numFmtId="166" fontId="44" fillId="4" borderId="5" xfId="4" applyNumberFormat="1" applyFont="1" applyFill="1" applyBorder="1" applyAlignment="1">
      <alignment horizontal="center" vertical="center" wrapText="1"/>
    </xf>
    <xf numFmtId="166" fontId="44" fillId="4" borderId="17" xfId="4" applyNumberFormat="1" applyFont="1" applyFill="1" applyBorder="1" applyAlignment="1">
      <alignment horizontal="center" vertical="center" wrapText="1"/>
    </xf>
    <xf numFmtId="166" fontId="44" fillId="4" borderId="0" xfId="4" applyNumberFormat="1" applyFont="1" applyFill="1" applyBorder="1" applyAlignment="1">
      <alignment horizontal="center" vertical="center" wrapText="1"/>
    </xf>
    <xf numFmtId="0" fontId="27" fillId="9" borderId="75" xfId="0" applyFont="1" applyFill="1" applyBorder="1" applyAlignment="1">
      <alignment horizontal="center"/>
    </xf>
    <xf numFmtId="0" fontId="32" fillId="18" borderId="61" xfId="0" applyFont="1" applyFill="1" applyBorder="1" applyAlignment="1">
      <alignment horizontal="center" vertical="center"/>
    </xf>
    <xf numFmtId="0" fontId="32" fillId="18" borderId="8" xfId="0" applyFont="1" applyFill="1" applyBorder="1" applyAlignment="1">
      <alignment horizontal="center" vertical="center"/>
    </xf>
    <xf numFmtId="0" fontId="32" fillId="18" borderId="7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" fillId="0" borderId="0" xfId="2" applyFont="1" applyAlignment="1">
      <alignment horizontal="left" vertical="center" wrapText="1"/>
    </xf>
    <xf numFmtId="164" fontId="6" fillId="0" borderId="58" xfId="2" applyNumberFormat="1" applyFont="1" applyBorder="1" applyAlignment="1" applyProtection="1">
      <alignment horizontal="left" vertical="center"/>
      <protection locked="0"/>
    </xf>
    <xf numFmtId="0" fontId="6" fillId="0" borderId="58" xfId="2" applyFont="1" applyBorder="1" applyAlignment="1" applyProtection="1">
      <alignment horizontal="left" vertical="center"/>
      <protection locked="0"/>
    </xf>
    <xf numFmtId="14" fontId="6" fillId="0" borderId="58" xfId="2" applyNumberFormat="1" applyFont="1" applyBorder="1" applyAlignment="1" applyProtection="1">
      <alignment horizontal="left" vertical="center"/>
      <protection locked="0"/>
    </xf>
    <xf numFmtId="0" fontId="32" fillId="18" borderId="73" xfId="0" applyFont="1" applyFill="1" applyBorder="1" applyAlignment="1">
      <alignment horizontal="center" vertical="center"/>
    </xf>
    <xf numFmtId="0" fontId="32" fillId="18" borderId="9" xfId="0" applyFont="1" applyFill="1" applyBorder="1" applyAlignment="1">
      <alignment horizontal="center" vertical="center"/>
    </xf>
    <xf numFmtId="0" fontId="32" fillId="18" borderId="84" xfId="0" applyFont="1" applyFill="1" applyBorder="1" applyAlignment="1">
      <alignment horizontal="center" vertical="center"/>
    </xf>
    <xf numFmtId="0" fontId="14" fillId="8" borderId="40" xfId="0" applyFont="1" applyFill="1" applyBorder="1" applyAlignment="1">
      <alignment horizontal="left" vertical="center"/>
    </xf>
    <xf numFmtId="0" fontId="14" fillId="8" borderId="40" xfId="0" applyFont="1" applyFill="1" applyBorder="1" applyAlignment="1">
      <alignment vertical="center"/>
    </xf>
    <xf numFmtId="0" fontId="14" fillId="8" borderId="0" xfId="0" applyFont="1" applyFill="1" applyAlignment="1">
      <alignment vertical="center"/>
    </xf>
    <xf numFmtId="0" fontId="15" fillId="8" borderId="40" xfId="0" applyFont="1" applyFill="1" applyBorder="1" applyAlignment="1">
      <alignment horizontal="left" vertical="top"/>
    </xf>
    <xf numFmtId="0" fontId="17" fillId="8" borderId="40" xfId="0" applyFont="1" applyFill="1" applyBorder="1" applyAlignment="1">
      <alignment horizontal="center" vertical="center" wrapText="1"/>
    </xf>
    <xf numFmtId="0" fontId="17" fillId="8" borderId="0" xfId="0" applyFont="1" applyFill="1" applyAlignment="1">
      <alignment horizontal="center" vertical="center" wrapText="1"/>
    </xf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2" fillId="7" borderId="0" xfId="0" applyFont="1" applyFill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44" fontId="0" fillId="0" borderId="24" xfId="8" applyFont="1" applyBorder="1" applyAlignment="1">
      <alignment horizontal="center"/>
    </xf>
    <xf numFmtId="44" fontId="0" fillId="0" borderId="25" xfId="8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44" fontId="0" fillId="0" borderId="27" xfId="8" applyFont="1" applyBorder="1" applyAlignment="1">
      <alignment horizontal="center"/>
    </xf>
    <xf numFmtId="44" fontId="0" fillId="0" borderId="29" xfId="8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1" xfId="0" applyFont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2" xfId="0" applyBorder="1" applyAlignment="1">
      <alignment horizontal="left"/>
    </xf>
    <xf numFmtId="0" fontId="9" fillId="0" borderId="11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10" fillId="0" borderId="14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</cellXfs>
  <cellStyles count="19">
    <cellStyle name="Moeda" xfId="8" builtinId="4"/>
    <cellStyle name="Moeda 2" xfId="4" xr:uid="{88D8EF41-8435-41DD-B95B-CB2197D8CF8B}"/>
    <cellStyle name="Moeda 3" xfId="9" xr:uid="{18A079E9-578A-4840-BD6F-5C55BE5AE376}"/>
    <cellStyle name="Moeda 3 2" xfId="15" xr:uid="{53D7C568-CC58-4B15-B9DD-1867C128147F}"/>
    <cellStyle name="Moeda 4" xfId="6" xr:uid="{87039FAF-445E-422B-A516-66BA7E305CF9}"/>
    <cellStyle name="Moeda 4 2" xfId="10" xr:uid="{636A40C2-255F-46EF-84CA-98953AE8866B}"/>
    <cellStyle name="Moeda 4 2 2" xfId="16" xr:uid="{7BDB4489-6168-4BE0-A964-5DE628ED1876}"/>
    <cellStyle name="Moeda 5" xfId="11" xr:uid="{2124AE60-0557-4AC3-B48A-633CB17E3340}"/>
    <cellStyle name="Moeda 5 2" xfId="17" xr:uid="{0C993D40-EFA9-480A-9766-C4BE8F04E4F7}"/>
    <cellStyle name="Moeda 6" xfId="14" xr:uid="{574A822A-71B7-46B2-A0C3-1C5E8591DADA}"/>
    <cellStyle name="Normal" xfId="0" builtinId="0"/>
    <cellStyle name="Normal 2" xfId="2" xr:uid="{BD42359E-6099-413E-81D2-0E0BA4C03DB2}"/>
    <cellStyle name="Normal 3" xfId="7" xr:uid="{68151FFA-A329-4F7F-B412-27BE57253D9C}"/>
    <cellStyle name="Normal 3 2" xfId="13" xr:uid="{EDD1A25C-4E09-47DE-9478-AA6861AFB48F}"/>
    <cellStyle name="Normal 6" xfId="12" xr:uid="{2888F636-9924-454F-857E-E38553BD81CD}"/>
    <cellStyle name="Normal_Plan1" xfId="3" xr:uid="{ABCD160A-D73A-4213-9DF3-17A45862579B}"/>
    <cellStyle name="Porcentagem" xfId="1" builtinId="5"/>
    <cellStyle name="Porcentagem 2" xfId="5" xr:uid="{58C97418-D6D1-4F2E-95E9-1B0ADE8B90D4}"/>
    <cellStyle name="Vírgula" xfId="18" builtinId="3"/>
  </cellStyles>
  <dxfs count="0"/>
  <tableStyles count="0" defaultTableStyle="TableStyleMedium2" defaultPivotStyle="PivotStyleLight16"/>
  <colors>
    <mruColors>
      <color rgb="FFFFFFCC"/>
      <color rgb="FF0476D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png"/><Relationship Id="rId1" Type="http://schemas.openxmlformats.org/officeDocument/2006/relationships/image" Target="../media/image1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209173</xdr:colOff>
      <xdr:row>0</xdr:row>
      <xdr:rowOff>152400</xdr:rowOff>
    </xdr:from>
    <xdr:to>
      <xdr:col>5</xdr:col>
      <xdr:colOff>2055418</xdr:colOff>
      <xdr:row>1</xdr:row>
      <xdr:rowOff>73025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4353186A-FA72-4CC6-A14D-8F7BCA5B0536}"/>
            </a:ext>
          </a:extLst>
        </xdr:cNvPr>
        <xdr:cNvSpPr/>
      </xdr:nvSpPr>
      <xdr:spPr bwMode="auto">
        <a:xfrm>
          <a:off x="702931" y="152400"/>
          <a:ext cx="888363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263941</xdr:colOff>
      <xdr:row>0</xdr:row>
      <xdr:rowOff>134781</xdr:rowOff>
    </xdr:from>
    <xdr:to>
      <xdr:col>5</xdr:col>
      <xdr:colOff>133747</xdr:colOff>
      <xdr:row>0</xdr:row>
      <xdr:rowOff>513398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D1335F7E-3D98-4673-A110-D4C2C760CA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949" y="130971"/>
          <a:ext cx="381556" cy="372267"/>
        </a:xfrm>
        <a:prstGeom prst="rect">
          <a:avLst/>
        </a:prstGeom>
      </xdr:spPr>
    </xdr:pic>
    <xdr:clientData/>
  </xdr:twoCellAnchor>
  <xdr:twoCellAnchor editAs="absolute">
    <xdr:from>
      <xdr:col>54</xdr:col>
      <xdr:colOff>380294</xdr:colOff>
      <xdr:row>0</xdr:row>
      <xdr:rowOff>190500</xdr:rowOff>
    </xdr:from>
    <xdr:to>
      <xdr:col>56</xdr:col>
      <xdr:colOff>83972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00A75C5F-7C28-482B-B81F-25518E9B39C5}"/>
            </a:ext>
          </a:extLst>
        </xdr:cNvPr>
        <xdr:cNvSpPr/>
      </xdr:nvSpPr>
      <xdr:spPr bwMode="auto">
        <a:xfrm>
          <a:off x="29729224" y="190500"/>
          <a:ext cx="1016148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53</xdr:col>
      <xdr:colOff>439542</xdr:colOff>
      <xdr:row>0</xdr:row>
      <xdr:rowOff>187011</xdr:rowOff>
    </xdr:from>
    <xdr:to>
      <xdr:col>54</xdr:col>
      <xdr:colOff>284406</xdr:colOff>
      <xdr:row>0</xdr:row>
      <xdr:rowOff>552293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3C8A0E27-92AD-4FCB-B707-9D8726DADD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59245" y="179391"/>
          <a:ext cx="371551" cy="362742"/>
        </a:xfrm>
        <a:prstGeom prst="rect">
          <a:avLst/>
        </a:prstGeom>
      </xdr:spPr>
    </xdr:pic>
    <xdr:clientData/>
  </xdr:twoCellAnchor>
  <xdr:twoCellAnchor editAs="absolute">
    <xdr:from>
      <xdr:col>5</xdr:col>
      <xdr:colOff>359124</xdr:colOff>
      <xdr:row>0</xdr:row>
      <xdr:rowOff>133983</xdr:rowOff>
    </xdr:from>
    <xdr:to>
      <xdr:col>5</xdr:col>
      <xdr:colOff>1558835</xdr:colOff>
      <xdr:row>0</xdr:row>
      <xdr:rowOff>606333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AC53E2B3-E12D-4B24-8C6A-7EC1F79EC51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3910" y="126998"/>
          <a:ext cx="1228376" cy="4748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54</xdr:col>
      <xdr:colOff>380294</xdr:colOff>
      <xdr:row>0</xdr:row>
      <xdr:rowOff>190500</xdr:rowOff>
    </xdr:from>
    <xdr:to>
      <xdr:col>56</xdr:col>
      <xdr:colOff>83972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26BA0606-A926-4B6E-8DE1-86A53954358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729224" y="190500"/>
          <a:ext cx="1016148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16</xdr:col>
      <xdr:colOff>301625</xdr:colOff>
      <xdr:row>2</xdr:row>
      <xdr:rowOff>211517</xdr:rowOff>
    </xdr:from>
    <xdr:ext cx="2776118" cy="1993675"/>
    <xdr:pic>
      <xdr:nvPicPr>
        <xdr:cNvPr id="8" name="Imagem 7">
          <a:extLst>
            <a:ext uri="{FF2B5EF4-FFF2-40B4-BE49-F238E27FC236}">
              <a16:creationId xmlns:a16="http://schemas.microsoft.com/office/drawing/2014/main" id="{BFBB8347-0AA1-4F14-8F0D-9481884F54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397875" y="1164017"/>
          <a:ext cx="2776118" cy="199367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694041</xdr:colOff>
      <xdr:row>0</xdr:row>
      <xdr:rowOff>152400</xdr:rowOff>
    </xdr:from>
    <xdr:to>
      <xdr:col>5</xdr:col>
      <xdr:colOff>854542</xdr:colOff>
      <xdr:row>1</xdr:row>
      <xdr:rowOff>73025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2B31327C-7DCD-426B-B7AA-CAB07FFDA983}"/>
            </a:ext>
          </a:extLst>
        </xdr:cNvPr>
        <xdr:cNvSpPr/>
      </xdr:nvSpPr>
      <xdr:spPr bwMode="auto">
        <a:xfrm>
          <a:off x="715631" y="152400"/>
          <a:ext cx="881861" cy="542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262036</xdr:colOff>
      <xdr:row>0</xdr:row>
      <xdr:rowOff>131606</xdr:rowOff>
    </xdr:from>
    <xdr:to>
      <xdr:col>1</xdr:col>
      <xdr:colOff>624965</xdr:colOff>
      <xdr:row>0</xdr:row>
      <xdr:rowOff>511493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D69DCEC0-29EC-413A-A374-9E4403B36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416" y="130971"/>
          <a:ext cx="385789" cy="375442"/>
        </a:xfrm>
        <a:prstGeom prst="rect">
          <a:avLst/>
        </a:prstGeom>
      </xdr:spPr>
    </xdr:pic>
    <xdr:clientData/>
  </xdr:twoCellAnchor>
  <xdr:twoCellAnchor editAs="absolute">
    <xdr:from>
      <xdr:col>55</xdr:col>
      <xdr:colOff>180503</xdr:colOff>
      <xdr:row>0</xdr:row>
      <xdr:rowOff>190500</xdr:rowOff>
    </xdr:from>
    <xdr:to>
      <xdr:col>56</xdr:col>
      <xdr:colOff>414981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98448856-F655-43DE-9FB6-2CF28B502C2E}"/>
            </a:ext>
          </a:extLst>
        </xdr:cNvPr>
        <xdr:cNvSpPr/>
      </xdr:nvSpPr>
      <xdr:spPr bwMode="auto">
        <a:xfrm>
          <a:off x="29722722" y="190500"/>
          <a:ext cx="1016300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54</xdr:col>
      <xdr:colOff>249987</xdr:colOff>
      <xdr:row>0</xdr:row>
      <xdr:rowOff>187011</xdr:rowOff>
    </xdr:from>
    <xdr:to>
      <xdr:col>55</xdr:col>
      <xdr:colOff>135823</xdr:colOff>
      <xdr:row>0</xdr:row>
      <xdr:rowOff>549118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80A119F1-5CD6-4586-AF77-488D06C3B9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58035" y="182566"/>
          <a:ext cx="378959" cy="362742"/>
        </a:xfrm>
        <a:prstGeom prst="rect">
          <a:avLst/>
        </a:prstGeom>
      </xdr:spPr>
    </xdr:pic>
    <xdr:clientData/>
  </xdr:twoCellAnchor>
  <xdr:twoCellAnchor editAs="absolute">
    <xdr:from>
      <xdr:col>1</xdr:col>
      <xdr:colOff>694041</xdr:colOff>
      <xdr:row>0</xdr:row>
      <xdr:rowOff>152400</xdr:rowOff>
    </xdr:from>
    <xdr:to>
      <xdr:col>5</xdr:col>
      <xdr:colOff>854542</xdr:colOff>
      <xdr:row>1</xdr:row>
      <xdr:rowOff>73025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792ADA64-4952-420F-942D-C6AA7730209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5631" y="152400"/>
          <a:ext cx="881861" cy="542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55</xdr:col>
      <xdr:colOff>180503</xdr:colOff>
      <xdr:row>0</xdr:row>
      <xdr:rowOff>190500</xdr:rowOff>
    </xdr:from>
    <xdr:to>
      <xdr:col>56</xdr:col>
      <xdr:colOff>414981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F1ACE816-17A5-4ECC-97A2-895CC9185B6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722722" y="190500"/>
          <a:ext cx="1016300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11</xdr:col>
      <xdr:colOff>144123</xdr:colOff>
      <xdr:row>1</xdr:row>
      <xdr:rowOff>302761</xdr:rowOff>
    </xdr:from>
    <xdr:ext cx="2776118" cy="1993675"/>
    <xdr:pic>
      <xdr:nvPicPr>
        <xdr:cNvPr id="8" name="Imagem 7">
          <a:extLst>
            <a:ext uri="{FF2B5EF4-FFF2-40B4-BE49-F238E27FC236}">
              <a16:creationId xmlns:a16="http://schemas.microsoft.com/office/drawing/2014/main" id="{9DBD021E-C99E-4198-9196-6848566F26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526123" y="931411"/>
          <a:ext cx="2776118" cy="199367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91310</xdr:colOff>
      <xdr:row>0</xdr:row>
      <xdr:rowOff>152400</xdr:rowOff>
    </xdr:from>
    <xdr:to>
      <xdr:col>5</xdr:col>
      <xdr:colOff>911844</xdr:colOff>
      <xdr:row>1</xdr:row>
      <xdr:rowOff>73025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DD1948F5-87B5-4936-8DFD-C8DEE3BA2731}"/>
            </a:ext>
          </a:extLst>
        </xdr:cNvPr>
        <xdr:cNvSpPr/>
      </xdr:nvSpPr>
      <xdr:spPr bwMode="auto">
        <a:xfrm>
          <a:off x="702931" y="152400"/>
          <a:ext cx="888363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248258</xdr:colOff>
      <xdr:row>0</xdr:row>
      <xdr:rowOff>130971</xdr:rowOff>
    </xdr:from>
    <xdr:to>
      <xdr:col>2</xdr:col>
      <xdr:colOff>0</xdr:colOff>
      <xdr:row>0</xdr:row>
      <xdr:rowOff>509588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10C75FFF-F996-4F52-B933-0CD0050B4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949" y="130971"/>
          <a:ext cx="381556" cy="372267"/>
        </a:xfrm>
        <a:prstGeom prst="rect">
          <a:avLst/>
        </a:prstGeom>
      </xdr:spPr>
    </xdr:pic>
    <xdr:clientData/>
  </xdr:twoCellAnchor>
  <xdr:twoCellAnchor editAs="absolute">
    <xdr:from>
      <xdr:col>50</xdr:col>
      <xdr:colOff>150513</xdr:colOff>
      <xdr:row>0</xdr:row>
      <xdr:rowOff>190500</xdr:rowOff>
    </xdr:from>
    <xdr:to>
      <xdr:col>51</xdr:col>
      <xdr:colOff>398475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FEEE7F5C-3B33-41EA-914F-89D2778B8669}"/>
            </a:ext>
          </a:extLst>
        </xdr:cNvPr>
        <xdr:cNvSpPr/>
      </xdr:nvSpPr>
      <xdr:spPr bwMode="auto">
        <a:xfrm>
          <a:off x="29729224" y="190500"/>
          <a:ext cx="1016148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49</xdr:col>
      <xdr:colOff>211295</xdr:colOff>
      <xdr:row>0</xdr:row>
      <xdr:rowOff>185741</xdr:rowOff>
    </xdr:from>
    <xdr:to>
      <xdr:col>50</xdr:col>
      <xdr:colOff>109235</xdr:colOff>
      <xdr:row>0</xdr:row>
      <xdr:rowOff>548483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C0AB9447-268C-4AC0-A9A9-624838D08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59245" y="179391"/>
          <a:ext cx="371551" cy="362742"/>
        </a:xfrm>
        <a:prstGeom prst="rect">
          <a:avLst/>
        </a:prstGeom>
      </xdr:spPr>
    </xdr:pic>
    <xdr:clientData/>
  </xdr:twoCellAnchor>
  <xdr:twoCellAnchor editAs="absolute">
    <xdr:from>
      <xdr:col>5</xdr:col>
      <xdr:colOff>91310</xdr:colOff>
      <xdr:row>0</xdr:row>
      <xdr:rowOff>152400</xdr:rowOff>
    </xdr:from>
    <xdr:to>
      <xdr:col>5</xdr:col>
      <xdr:colOff>911844</xdr:colOff>
      <xdr:row>1</xdr:row>
      <xdr:rowOff>73025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12E7BE9B-BC3D-4FA1-A664-DAA6FFDF20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2931" y="152400"/>
          <a:ext cx="888363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50</xdr:col>
      <xdr:colOff>150513</xdr:colOff>
      <xdr:row>0</xdr:row>
      <xdr:rowOff>190500</xdr:rowOff>
    </xdr:from>
    <xdr:to>
      <xdr:col>51</xdr:col>
      <xdr:colOff>398475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A15AF165-46A8-4459-B446-6C4532D44C8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729224" y="190500"/>
          <a:ext cx="1016148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12</xdr:col>
      <xdr:colOff>597354</xdr:colOff>
      <xdr:row>4</xdr:row>
      <xdr:rowOff>137432</xdr:rowOff>
    </xdr:from>
    <xdr:ext cx="2776118" cy="1993675"/>
    <xdr:pic>
      <xdr:nvPicPr>
        <xdr:cNvPr id="8" name="Imagem 7">
          <a:extLst>
            <a:ext uri="{FF2B5EF4-FFF2-40B4-BE49-F238E27FC236}">
              <a16:creationId xmlns:a16="http://schemas.microsoft.com/office/drawing/2014/main" id="{52E988C7-0448-4A19-AD7A-BCB72E7AC6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826140" y="1561646"/>
          <a:ext cx="2776118" cy="1993675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74281</xdr:colOff>
      <xdr:row>0</xdr:row>
      <xdr:rowOff>152400</xdr:rowOff>
    </xdr:from>
    <xdr:to>
      <xdr:col>5</xdr:col>
      <xdr:colOff>930742</xdr:colOff>
      <xdr:row>1</xdr:row>
      <xdr:rowOff>73025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4EB06B83-3553-419D-93DA-F71A60726469}"/>
            </a:ext>
          </a:extLst>
        </xdr:cNvPr>
        <xdr:cNvSpPr/>
      </xdr:nvSpPr>
      <xdr:spPr bwMode="auto">
        <a:xfrm>
          <a:off x="693406" y="152400"/>
          <a:ext cx="846936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263941</xdr:colOff>
      <xdr:row>0</xdr:row>
      <xdr:rowOff>130971</xdr:rowOff>
    </xdr:from>
    <xdr:to>
      <xdr:col>1</xdr:col>
      <xdr:colOff>614805</xdr:colOff>
      <xdr:row>0</xdr:row>
      <xdr:rowOff>509588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7D54AE9A-425E-4D8C-8236-2050716080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591" y="130971"/>
          <a:ext cx="360389" cy="372267"/>
        </a:xfrm>
        <a:prstGeom prst="rect">
          <a:avLst/>
        </a:prstGeom>
      </xdr:spPr>
    </xdr:pic>
    <xdr:clientData/>
  </xdr:twoCellAnchor>
  <xdr:twoCellAnchor editAs="absolute">
    <xdr:from>
      <xdr:col>51</xdr:col>
      <xdr:colOff>363497</xdr:colOff>
      <xdr:row>0</xdr:row>
      <xdr:rowOff>190500</xdr:rowOff>
    </xdr:from>
    <xdr:to>
      <xdr:col>53</xdr:col>
      <xdr:colOff>170123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1F0306EF-8CFA-4B7A-8B6F-980624D222DC}"/>
            </a:ext>
          </a:extLst>
        </xdr:cNvPr>
        <xdr:cNvSpPr/>
      </xdr:nvSpPr>
      <xdr:spPr bwMode="auto">
        <a:xfrm>
          <a:off x="28396480" y="190500"/>
          <a:ext cx="961871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50</xdr:col>
      <xdr:colOff>413614</xdr:colOff>
      <xdr:row>0</xdr:row>
      <xdr:rowOff>185741</xdr:rowOff>
    </xdr:from>
    <xdr:to>
      <xdr:col>51</xdr:col>
      <xdr:colOff>271419</xdr:colOff>
      <xdr:row>0</xdr:row>
      <xdr:rowOff>548483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79E3F1C7-DDFE-4C81-8A9A-738390F8F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941771" y="179391"/>
          <a:ext cx="372156" cy="362742"/>
        </a:xfrm>
        <a:prstGeom prst="rect">
          <a:avLst/>
        </a:prstGeom>
      </xdr:spPr>
    </xdr:pic>
    <xdr:clientData/>
  </xdr:twoCellAnchor>
  <xdr:twoCellAnchor editAs="absolute">
    <xdr:from>
      <xdr:col>5</xdr:col>
      <xdr:colOff>74281</xdr:colOff>
      <xdr:row>0</xdr:row>
      <xdr:rowOff>152400</xdr:rowOff>
    </xdr:from>
    <xdr:to>
      <xdr:col>5</xdr:col>
      <xdr:colOff>930742</xdr:colOff>
      <xdr:row>1</xdr:row>
      <xdr:rowOff>73025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DEDC1A17-EAB5-4E97-8A3C-A13B0386295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3406" y="152400"/>
          <a:ext cx="846936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51</xdr:col>
      <xdr:colOff>363497</xdr:colOff>
      <xdr:row>0</xdr:row>
      <xdr:rowOff>190500</xdr:rowOff>
    </xdr:from>
    <xdr:to>
      <xdr:col>53</xdr:col>
      <xdr:colOff>170123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16BA4381-F671-4854-AE5F-C5563B3DF5E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6480" y="190500"/>
          <a:ext cx="961871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10</xdr:col>
      <xdr:colOff>356961</xdr:colOff>
      <xdr:row>1</xdr:row>
      <xdr:rowOff>296183</xdr:rowOff>
    </xdr:from>
    <xdr:ext cx="2776118" cy="1993675"/>
    <xdr:pic>
      <xdr:nvPicPr>
        <xdr:cNvPr id="8" name="Imagem 7">
          <a:extLst>
            <a:ext uri="{FF2B5EF4-FFF2-40B4-BE49-F238E27FC236}">
              <a16:creationId xmlns:a16="http://schemas.microsoft.com/office/drawing/2014/main" id="{57DCBE02-5681-43A4-AAEE-29BE8BFFD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853261" y="924833"/>
          <a:ext cx="2776118" cy="1993675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688705</xdr:colOff>
      <xdr:row>0</xdr:row>
      <xdr:rowOff>152400</xdr:rowOff>
    </xdr:from>
    <xdr:to>
      <xdr:col>5</xdr:col>
      <xdr:colOff>599180</xdr:colOff>
      <xdr:row>1</xdr:row>
      <xdr:rowOff>73025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69BDBF97-A593-400F-AD7C-22A8BAD38249}"/>
            </a:ext>
          </a:extLst>
        </xdr:cNvPr>
        <xdr:cNvSpPr/>
      </xdr:nvSpPr>
      <xdr:spPr bwMode="auto">
        <a:xfrm>
          <a:off x="715631" y="152400"/>
          <a:ext cx="881861" cy="542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263941</xdr:colOff>
      <xdr:row>0</xdr:row>
      <xdr:rowOff>130971</xdr:rowOff>
    </xdr:from>
    <xdr:to>
      <xdr:col>1</xdr:col>
      <xdr:colOff>613279</xdr:colOff>
      <xdr:row>0</xdr:row>
      <xdr:rowOff>506413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D552D91E-ADB4-4450-A37B-A4ADC6428D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416" y="130971"/>
          <a:ext cx="385789" cy="375442"/>
        </a:xfrm>
        <a:prstGeom prst="rect">
          <a:avLst/>
        </a:prstGeom>
      </xdr:spPr>
    </xdr:pic>
    <xdr:clientData/>
  </xdr:twoCellAnchor>
  <xdr:twoCellAnchor editAs="absolute">
    <xdr:from>
      <xdr:col>52</xdr:col>
      <xdr:colOff>305647</xdr:colOff>
      <xdr:row>0</xdr:row>
      <xdr:rowOff>190500</xdr:rowOff>
    </xdr:from>
    <xdr:to>
      <xdr:col>54</xdr:col>
      <xdr:colOff>178494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8660A80A-CE1B-47EB-92D4-40CF5B6118E9}"/>
            </a:ext>
          </a:extLst>
        </xdr:cNvPr>
        <xdr:cNvSpPr/>
      </xdr:nvSpPr>
      <xdr:spPr bwMode="auto">
        <a:xfrm>
          <a:off x="29722722" y="190500"/>
          <a:ext cx="1016300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51</xdr:col>
      <xdr:colOff>440663</xdr:colOff>
      <xdr:row>0</xdr:row>
      <xdr:rowOff>182566</xdr:rowOff>
    </xdr:from>
    <xdr:to>
      <xdr:col>52</xdr:col>
      <xdr:colOff>229444</xdr:colOff>
      <xdr:row>0</xdr:row>
      <xdr:rowOff>545308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F3843748-E323-42AC-8428-7A236B064D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58035" y="182566"/>
          <a:ext cx="378959" cy="362742"/>
        </a:xfrm>
        <a:prstGeom prst="rect">
          <a:avLst/>
        </a:prstGeom>
      </xdr:spPr>
    </xdr:pic>
    <xdr:clientData/>
  </xdr:twoCellAnchor>
  <xdr:twoCellAnchor editAs="absolute">
    <xdr:from>
      <xdr:col>1</xdr:col>
      <xdr:colOff>688705</xdr:colOff>
      <xdr:row>0</xdr:row>
      <xdr:rowOff>152400</xdr:rowOff>
    </xdr:from>
    <xdr:to>
      <xdr:col>5</xdr:col>
      <xdr:colOff>599180</xdr:colOff>
      <xdr:row>1</xdr:row>
      <xdr:rowOff>73025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91CCB8CA-7614-46FA-B1B9-FA0EC4BDCD7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5631" y="152400"/>
          <a:ext cx="881861" cy="542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52</xdr:col>
      <xdr:colOff>305647</xdr:colOff>
      <xdr:row>0</xdr:row>
      <xdr:rowOff>190500</xdr:rowOff>
    </xdr:from>
    <xdr:to>
      <xdr:col>54</xdr:col>
      <xdr:colOff>178494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88EB86FB-AE61-4122-BDB1-882D1F13118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722722" y="190500"/>
          <a:ext cx="1016300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10</xdr:col>
      <xdr:colOff>1282247</xdr:colOff>
      <xdr:row>1</xdr:row>
      <xdr:rowOff>105682</xdr:rowOff>
    </xdr:from>
    <xdr:ext cx="2776118" cy="1993675"/>
    <xdr:pic>
      <xdr:nvPicPr>
        <xdr:cNvPr id="8" name="Imagem 7">
          <a:extLst>
            <a:ext uri="{FF2B5EF4-FFF2-40B4-BE49-F238E27FC236}">
              <a16:creationId xmlns:a16="http://schemas.microsoft.com/office/drawing/2014/main" id="{588C14D3-1912-40FB-9648-B5B9A91B4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602890" y="731611"/>
          <a:ext cx="2776118" cy="1993675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97413</xdr:colOff>
      <xdr:row>0</xdr:row>
      <xdr:rowOff>152400</xdr:rowOff>
    </xdr:from>
    <xdr:to>
      <xdr:col>5</xdr:col>
      <xdr:colOff>925752</xdr:colOff>
      <xdr:row>1</xdr:row>
      <xdr:rowOff>73025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8084C33F-6B97-43B7-B80B-363F4DDE6B14}"/>
            </a:ext>
          </a:extLst>
        </xdr:cNvPr>
        <xdr:cNvSpPr/>
      </xdr:nvSpPr>
      <xdr:spPr bwMode="auto">
        <a:xfrm>
          <a:off x="694766" y="152400"/>
          <a:ext cx="865079" cy="5492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263941</xdr:colOff>
      <xdr:row>0</xdr:row>
      <xdr:rowOff>130971</xdr:rowOff>
    </xdr:from>
    <xdr:to>
      <xdr:col>5</xdr:col>
      <xdr:colOff>21987</xdr:colOff>
      <xdr:row>0</xdr:row>
      <xdr:rowOff>509588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9FF50684-17F4-44B6-983B-EB1C17706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3941" y="130971"/>
          <a:ext cx="355399" cy="378617"/>
        </a:xfrm>
        <a:prstGeom prst="rect">
          <a:avLst/>
        </a:prstGeom>
      </xdr:spPr>
    </xdr:pic>
    <xdr:clientData/>
  </xdr:twoCellAnchor>
  <xdr:twoCellAnchor editAs="absolute">
    <xdr:from>
      <xdr:col>51</xdr:col>
      <xdr:colOff>159845</xdr:colOff>
      <xdr:row>0</xdr:row>
      <xdr:rowOff>190500</xdr:rowOff>
    </xdr:from>
    <xdr:to>
      <xdr:col>52</xdr:col>
      <xdr:colOff>550215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86165F82-D1A2-4711-94D7-00BECD1081E3}"/>
            </a:ext>
          </a:extLst>
        </xdr:cNvPr>
        <xdr:cNvSpPr/>
      </xdr:nvSpPr>
      <xdr:spPr bwMode="auto">
        <a:xfrm>
          <a:off x="28416437" y="190500"/>
          <a:ext cx="963232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50</xdr:col>
      <xdr:colOff>283893</xdr:colOff>
      <xdr:row>0</xdr:row>
      <xdr:rowOff>185741</xdr:rowOff>
    </xdr:from>
    <xdr:to>
      <xdr:col>51</xdr:col>
      <xdr:colOff>83642</xdr:colOff>
      <xdr:row>0</xdr:row>
      <xdr:rowOff>548483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2132687C-8DB6-4BCE-8241-51C0CAFF3D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949935" y="185741"/>
          <a:ext cx="390299" cy="362742"/>
        </a:xfrm>
        <a:prstGeom prst="rect">
          <a:avLst/>
        </a:prstGeom>
      </xdr:spPr>
    </xdr:pic>
    <xdr:clientData/>
  </xdr:twoCellAnchor>
  <xdr:twoCellAnchor editAs="absolute">
    <xdr:from>
      <xdr:col>5</xdr:col>
      <xdr:colOff>97413</xdr:colOff>
      <xdr:row>0</xdr:row>
      <xdr:rowOff>152400</xdr:rowOff>
    </xdr:from>
    <xdr:to>
      <xdr:col>5</xdr:col>
      <xdr:colOff>925752</xdr:colOff>
      <xdr:row>1</xdr:row>
      <xdr:rowOff>73025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30933C33-0DE0-499B-A197-65BFDD535D2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4766" y="152400"/>
          <a:ext cx="865079" cy="5492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51</xdr:col>
      <xdr:colOff>159845</xdr:colOff>
      <xdr:row>0</xdr:row>
      <xdr:rowOff>190500</xdr:rowOff>
    </xdr:from>
    <xdr:to>
      <xdr:col>52</xdr:col>
      <xdr:colOff>550215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B33BAFD6-C916-4662-B492-1FCEE971395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16437" y="190500"/>
          <a:ext cx="963232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10</xdr:col>
      <xdr:colOff>506640</xdr:colOff>
      <xdr:row>1</xdr:row>
      <xdr:rowOff>309790</xdr:rowOff>
    </xdr:from>
    <xdr:ext cx="2776118" cy="1993675"/>
    <xdr:pic>
      <xdr:nvPicPr>
        <xdr:cNvPr id="8" name="Imagem 7">
          <a:extLst>
            <a:ext uri="{FF2B5EF4-FFF2-40B4-BE49-F238E27FC236}">
              <a16:creationId xmlns:a16="http://schemas.microsoft.com/office/drawing/2014/main" id="{424D0B9E-A17E-4EE1-9532-0E603996A7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15854" y="935719"/>
          <a:ext cx="2776118" cy="1993675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682625</xdr:colOff>
      <xdr:row>0</xdr:row>
      <xdr:rowOff>152400</xdr:rowOff>
    </xdr:from>
    <xdr:to>
      <xdr:col>0</xdr:col>
      <xdr:colOff>1635125</xdr:colOff>
      <xdr:row>1</xdr:row>
      <xdr:rowOff>57150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4531B1F3-77A6-45FA-AF8C-05B11672063E}"/>
            </a:ext>
          </a:extLst>
        </xdr:cNvPr>
        <xdr:cNvSpPr/>
      </xdr:nvSpPr>
      <xdr:spPr bwMode="auto">
        <a:xfrm>
          <a:off x="676275" y="152400"/>
          <a:ext cx="95250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29</xdr:col>
      <xdr:colOff>205799</xdr:colOff>
      <xdr:row>0</xdr:row>
      <xdr:rowOff>225425</xdr:rowOff>
    </xdr:from>
    <xdr:to>
      <xdr:col>30</xdr:col>
      <xdr:colOff>569577</xdr:colOff>
      <xdr:row>1</xdr:row>
      <xdr:rowOff>130175</xdr:rowOff>
    </xdr:to>
    <xdr:sp macro="" textlink="">
      <xdr:nvSpPr>
        <xdr:cNvPr id="3" name="Label2" hidden="1">
          <a:extLst>
            <a:ext uri="{63B3BB69-23CF-44E3-9099-C40C66FF867C}">
              <a14:compatExt xmlns:a14="http://schemas.microsoft.com/office/drawing/2010/main" spid="_x0000_s5122"/>
            </a:ext>
            <a:ext uri="{FF2B5EF4-FFF2-40B4-BE49-F238E27FC236}">
              <a16:creationId xmlns:a16="http://schemas.microsoft.com/office/drawing/2014/main" id="{C2FE0F0F-090E-4C6A-AE49-C821E6A0FB49}"/>
            </a:ext>
          </a:extLst>
        </xdr:cNvPr>
        <xdr:cNvSpPr/>
      </xdr:nvSpPr>
      <xdr:spPr bwMode="auto">
        <a:xfrm>
          <a:off x="29583625" y="219075"/>
          <a:ext cx="983608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absoluteAnchor>
    <xdr:pos x="29290847" y="182566"/>
    <xdr:ext cx="362742" cy="362742"/>
    <xdr:pic>
      <xdr:nvPicPr>
        <xdr:cNvPr id="4" name="Imagem 3">
          <a:extLst>
            <a:ext uri="{FF2B5EF4-FFF2-40B4-BE49-F238E27FC236}">
              <a16:creationId xmlns:a16="http://schemas.microsoft.com/office/drawing/2014/main" id="{8C50546C-78A6-47B9-A6CD-8600027F9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90847" y="182566"/>
          <a:ext cx="362742" cy="362742"/>
        </a:xfrm>
        <a:prstGeom prst="rect">
          <a:avLst/>
        </a:prstGeom>
      </xdr:spPr>
    </xdr:pic>
    <xdr:clientData/>
  </xdr:absoluteAnchor>
  <xdr:oneCellAnchor>
    <xdr:from>
      <xdr:col>3</xdr:col>
      <xdr:colOff>336742</xdr:colOff>
      <xdr:row>4</xdr:row>
      <xdr:rowOff>45660</xdr:rowOff>
    </xdr:from>
    <xdr:ext cx="1949038" cy="1399706"/>
    <xdr:pic>
      <xdr:nvPicPr>
        <xdr:cNvPr id="5" name="Imagem 4">
          <a:extLst>
            <a:ext uri="{FF2B5EF4-FFF2-40B4-BE49-F238E27FC236}">
              <a16:creationId xmlns:a16="http://schemas.microsoft.com/office/drawing/2014/main" id="{0DECDFEA-6D3B-4867-A412-9F43895F1C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18969" y="1471524"/>
          <a:ext cx="1949038" cy="1399706"/>
        </a:xfrm>
        <a:prstGeom prst="rect">
          <a:avLst/>
        </a:prstGeom>
      </xdr:spPr>
    </xdr:pic>
    <xdr:clientData/>
  </xdr:oneCellAnchor>
  <xdr:twoCellAnchor editAs="absolute">
    <xdr:from>
      <xdr:col>29</xdr:col>
      <xdr:colOff>206857</xdr:colOff>
      <xdr:row>0</xdr:row>
      <xdr:rowOff>225425</xdr:rowOff>
    </xdr:from>
    <xdr:to>
      <xdr:col>30</xdr:col>
      <xdr:colOff>529584</xdr:colOff>
      <xdr:row>1</xdr:row>
      <xdr:rowOff>130175</xdr:rowOff>
    </xdr:to>
    <xdr:pic>
      <xdr:nvPicPr>
        <xdr:cNvPr id="6" name="Label2">
          <a:extLst>
            <a:ext uri="{FF2B5EF4-FFF2-40B4-BE49-F238E27FC236}">
              <a16:creationId xmlns:a16="http://schemas.microsoft.com/office/drawing/2014/main" id="{E554B7AA-3C04-415C-B1B7-82488300E37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84683" y="219075"/>
          <a:ext cx="960325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388055</xdr:colOff>
      <xdr:row>15</xdr:row>
      <xdr:rowOff>53621</xdr:rowOff>
    </xdr:from>
    <xdr:to>
      <xdr:col>6</xdr:col>
      <xdr:colOff>3463228</xdr:colOff>
      <xdr:row>21</xdr:row>
      <xdr:rowOff>145169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2D628E8-5B5A-78CD-55A6-09FED31DB1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812388" y="4022371"/>
          <a:ext cx="3068823" cy="1736198"/>
        </a:xfrm>
        <a:prstGeom prst="rect">
          <a:avLst/>
        </a:prstGeom>
      </xdr:spPr>
    </xdr:pic>
    <xdr:clientData/>
  </xdr:twoCellAnchor>
  <xdr:twoCellAnchor editAs="oneCell">
    <xdr:from>
      <xdr:col>6</xdr:col>
      <xdr:colOff>3531654</xdr:colOff>
      <xdr:row>15</xdr:row>
      <xdr:rowOff>63498</xdr:rowOff>
    </xdr:from>
    <xdr:to>
      <xdr:col>7</xdr:col>
      <xdr:colOff>2874432</xdr:colOff>
      <xdr:row>21</xdr:row>
      <xdr:rowOff>135054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60C61DEB-221A-BB33-A9C2-412527A5E2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955987" y="4032248"/>
          <a:ext cx="2998262" cy="172255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arol Iglezias" id="{74CEBF40-E07D-4006-950B-C942A018223C}" userId="S::carol.iglezias@oggilive.com.br::e3599335-7fad-48c9-a3a1-f8827cdc78a0" providerId="AD"/>
</personList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S31" dT="2026-05-27T22:16:19.75" personId="{74CEBF40-E07D-4006-950B-C942A018223C}" id="{1F870187-B1C3-4B6F-BE98-5613E26B04D4}">
    <text>Descontar montadora</text>
  </threadedComment>
  <threadedComment ref="T54" dT="2026-05-27T22:58:05.96" personId="{74CEBF40-E07D-4006-950B-C942A018223C}" id="{5B1BB38B-054E-42AE-BEB1-DBA7B3B79E36}">
    <text>Desconto de uma diária da bicuda</text>
  </threadedComment>
  <threadedComment ref="S60" dT="2026-05-07T21:52:27.76" personId="{74CEBF40-E07D-4006-950B-C942A018223C}" id="{F707B532-CA6E-435A-A26B-1E90C34E518C}">
    <text>3k Engenheiro pago pela Think</text>
  </threadedComment>
  <threadedComment ref="T68" dT="2026-05-27T22:54:32.61" personId="{74CEBF40-E07D-4006-950B-C942A018223C}" id="{43F04614-6509-4AC0-9316-99581EEB87AA}">
    <text>05 diárias - Marcelo + 01 diária Tere</text>
  </threadedComment>
  <threadedComment ref="S72" dT="2026-05-27T22:41:40.58" personId="{74CEBF40-E07D-4006-950B-C942A018223C}" id="{C2AE45E0-EE7F-4345-BBDB-4F6B53975FF4}">
    <text>Prestação de Contas Carol</text>
  </threadedComment>
  <threadedComment ref="S76" dT="2026-05-27T22:10:15.92" personId="{74CEBF40-E07D-4006-950B-C942A018223C}" id="{B39F925E-EB89-440C-B5D5-19CF304C534A}">
    <text>R$ 1.911,87 - REFERENTE A COMPRA DE 09 HDMI SEM FIO</text>
  </threadedComment>
  <threadedComment ref="S76" dT="2026-05-27T22:22:57.85" personId="{74CEBF40-E07D-4006-950B-C942A018223C}" id="{41C622E5-C275-4BE2-A91E-10021D683C55}" parentId="{B39F925E-EB89-440C-B5D5-19CF304C534A}">
    <text>149,73 REF. ESTACIONAMENTO LUIZA</text>
  </threadedComment>
  <threadedComment ref="S76" dT="2026-05-27T22:39:24.61" personId="{74CEBF40-E07D-4006-950B-C942A018223C}" id="{AF440FE7-146E-4419-A8FA-D42FA298E583}" parentId="{B39F925E-EB89-440C-B5D5-19CF304C534A}">
    <text xml:space="preserve">327,50 	SK COPIADORA 
382,00 	SK COPIADORA
100,00  SK COPIADORA
</text>
  </threadedComment>
  <threadedComment ref="S76" dT="2026-05-27T22:55:20.15" personId="{74CEBF40-E07D-4006-950B-C942A018223C}" id="{B2A1B986-0D45-4127-99F7-F741ED5C60F6}" parentId="{B39F925E-EB89-440C-B5D5-19CF304C534A}">
    <text>1.200,00 Janaína Limpeza</text>
  </threadedComment>
  <threadedComment ref="S76" dT="2026-05-29T15:20:11.12" personId="{74CEBF40-E07D-4006-950B-C942A018223C}" id="{2B8E742E-FD57-4567-80AE-3A4CA6B13C7A}" parentId="{B39F925E-EB89-440C-B5D5-19CF304C534A}">
    <text>R$ 811,08 - Reembolso Bruno Melo</text>
  </threadedComment>
  <threadedComment ref="S76" dT="2026-05-29T16:43:45.52" personId="{74CEBF40-E07D-4006-950B-C942A018223C}" id="{6CE68A2E-D2B6-48C7-B87E-C6DB31C5F342}" parentId="{B39F925E-EB89-440C-B5D5-19CF304C534A}">
    <text>R$ 531,09 Reembolso Jaque</text>
  </threadedComment>
  <threadedComment ref="S76" dT="2026-05-29T16:56:45.74" personId="{74CEBF40-E07D-4006-950B-C942A018223C}" id="{86F2CB22-6A2D-4249-8FF7-2D67A2C3DDCC}" parentId="{B39F925E-EB89-440C-B5D5-19CF304C534A}">
    <text>992,45 - Reembolso Ellen</text>
  </threadedComment>
  <threadedComment ref="S76" dT="2026-05-29T17:02:07.97" personId="{74CEBF40-E07D-4006-950B-C942A018223C}" id="{A42E9A4F-A98E-4D8E-8E95-F1ACC6F99BA5}" parentId="{B39F925E-EB89-440C-B5D5-19CF304C534A}">
    <text>575,97 - Reembolso Ellen</text>
  </threadedComment>
  <threadedComment ref="S76" dT="2026-05-29T17:09:32.50" personId="{74CEBF40-E07D-4006-950B-C942A018223C}" id="{B39202F9-3C0B-40E3-BCC2-F78C1F8D1B9F}" parentId="{B39F925E-EB89-440C-B5D5-19CF304C534A}">
    <text>1.2181,63 - Reembolso Fernanda</text>
  </threadedComment>
  <threadedComment ref="S76" dT="2026-05-29T17:11:41.38" personId="{74CEBF40-E07D-4006-950B-C942A018223C}" id="{2A5CF258-AB01-4323-B319-A42DCAC17BAA}" parentId="{B39F925E-EB89-440C-B5D5-19CF304C534A}">
    <text xml:space="preserve">603,53 +1711,23 Reembolso Isabela </text>
  </threadedComment>
  <threadedComment ref="S76" dT="2026-05-29T17:43:10.00" personId="{74CEBF40-E07D-4006-950B-C942A018223C}" id="{124B1F6D-0435-4DD4-8E8C-5C2463C8DBB7}" parentId="{B39F925E-EB89-440C-B5D5-19CF304C534A}">
    <text>992,87 - Reembolso Shirley</text>
  </threadedComment>
  <threadedComment ref="S76" dT="2026-05-29T17:52:19.53" personId="{74CEBF40-E07D-4006-950B-C942A018223C}" id="{20CB07EB-6044-40EF-9CE2-A15A2852B1DA}" parentId="{B39F925E-EB89-440C-B5D5-19CF304C534A}">
    <text>264,12 - Reembolso Vinicuis (videomaker)</text>
  </threadedComment>
  <threadedComment ref="S76" dT="2026-05-29T20:15:06.45" personId="{74CEBF40-E07D-4006-950B-C942A018223C}" id="{42B6A5B6-F92C-4DB1-BA31-DC2D69380F42}" parentId="{B39F925E-EB89-440C-B5D5-19CF304C534A}">
    <text>2238,63 Reembolso Baixinho</text>
  </threadedComment>
  <threadedComment ref="S76" dT="2026-05-29T20:35:19.53" personId="{74CEBF40-E07D-4006-950B-C942A018223C}" id="{BFAE1695-B55E-44B6-A00A-9D619900FE0D}" parentId="{B39F925E-EB89-440C-B5D5-19CF304C534A}">
    <text>15014,56 Prestação de Contas Carol</text>
  </threadedComment>
  <threadedComment ref="S76" dT="2026-05-29T20:39:07.85" personId="{74CEBF40-E07D-4006-950B-C942A018223C}" id="{D01A12EF-ECEA-43CE-A36D-7D4E19DBDD4C}" parentId="{B39F925E-EB89-440C-B5D5-19CF304C534A}">
    <text>6.573,58 - Prestação Peterson</text>
  </threadedComment>
  <threadedComment ref="S76" dT="2026-05-29T20:57:48.36" personId="{74CEBF40-E07D-4006-950B-C942A018223C}" id="{E0B8507E-A8E9-4BE3-AE62-CADADCF93FD5}" parentId="{B39F925E-EB89-440C-B5D5-19CF304C534A}">
    <text>2617,82 Reembolso Luiza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S18" dT="2026-05-27T22:11:33.27" personId="{74CEBF40-E07D-4006-950B-C942A018223C}" id="{B2D3CD1F-03A8-4CDB-B7EF-BE9BE731E60B}">
    <text>Desconto de 3.850,00 pagamento a vista</text>
  </threadedComment>
  <threadedComment ref="S26" dT="2026-05-09T19:14:58.73" personId="{74CEBF40-E07D-4006-950B-C942A018223C}" id="{2A65C41F-6CFB-448D-BCEB-93DBB288236B}">
    <text>Valor de 50% cobrado pela Think referente a estrutura painel de led, lonas salas de reunião e alteração de piso MDF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S17" dT="2026-05-03T21:08:52.54" personId="{74CEBF40-E07D-4006-950B-C942A018223C}" id="{B111E3C7-B54F-499E-9191-3604D26C47DF}">
    <text>913.761,10 
Produtor Dedicado - 15k
Criativo Dedicado - 5k
Pré-montagem - 20k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T21" dT="2026-05-27T22:08:02.73" personId="{74CEBF40-E07D-4006-950B-C942A018223C}" id="{6665C6BA-FD1A-475F-B0DF-AF29CE3F74FD}">
    <text>Cartão Bela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S38" dT="2026-05-28T15:50:18.05" personId="{74CEBF40-E07D-4006-950B-C942A018223C}" id="{92D54FBF-D509-4D09-BBCC-A0EC2B836FFF}">
    <text>Reembolso Pet</text>
  </threadedComment>
  <threadedComment ref="S39" dT="2026-05-27T22:18:29.04" personId="{74CEBF40-E07D-4006-950B-C942A018223C}" id="{4D585EC5-666E-4DFB-9714-40BB0C822F8C}">
    <text>Descontar montadora</text>
  </threadedComment>
  <threadedComment ref="S39" dT="2026-05-28T17:01:51.53" personId="{74CEBF40-E07D-4006-950B-C942A018223C}" id="{5719AA5E-E777-448E-B8AC-6BA1219B8868}" parentId="{4D585EC5-666E-4DFB-9714-40BB0C822F8C}">
    <text>Meiar a responsab.</text>
  </threadedComment>
  <threadedComment ref="S40" dT="2026-05-27T22:18:29.04" personId="{74CEBF40-E07D-4006-950B-C942A018223C}" id="{1B56B5C8-6C7A-41C6-A177-452825821368}">
    <text>Descontar montadora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CA80A-1673-48AF-B24E-B5493C4864A4}">
  <dimension ref="A1:H48"/>
  <sheetViews>
    <sheetView showGridLines="0" tabSelected="1" topLeftCell="A8" zoomScaleNormal="100" workbookViewId="0">
      <selection activeCell="D36" sqref="D36"/>
    </sheetView>
  </sheetViews>
  <sheetFormatPr defaultColWidth="8.6640625" defaultRowHeight="16.2" x14ac:dyDescent="0.35"/>
  <cols>
    <col min="1" max="1" width="8.6640625" style="155"/>
    <col min="2" max="2" width="23.44140625" style="155" bestFit="1" customWidth="1"/>
    <col min="3" max="3" width="26.5546875" style="155" bestFit="1" customWidth="1"/>
    <col min="4" max="4" width="21" style="155" bestFit="1" customWidth="1"/>
    <col min="5" max="5" width="20" style="155" bestFit="1" customWidth="1"/>
    <col min="6" max="6" width="11.88671875" style="156" bestFit="1" customWidth="1"/>
    <col min="7" max="7" width="13.5546875" style="155" bestFit="1" customWidth="1"/>
    <col min="8" max="8" width="18.33203125" style="155" bestFit="1" customWidth="1"/>
    <col min="9" max="16384" width="8.6640625" style="155"/>
  </cols>
  <sheetData>
    <row r="1" spans="1:5" s="156" customFormat="1" hidden="1" x14ac:dyDescent="0.35">
      <c r="A1" s="155"/>
      <c r="B1" s="155"/>
      <c r="C1" s="155"/>
      <c r="D1" s="155"/>
      <c r="E1" s="155"/>
    </row>
    <row r="2" spans="1:5" s="156" customFormat="1" hidden="1" x14ac:dyDescent="0.35">
      <c r="A2" s="155"/>
      <c r="B2" s="155"/>
      <c r="C2" s="155"/>
      <c r="D2" s="155"/>
      <c r="E2" s="155"/>
    </row>
    <row r="3" spans="1:5" s="156" customFormat="1" hidden="1" x14ac:dyDescent="0.35">
      <c r="A3" s="155"/>
      <c r="B3" s="155"/>
      <c r="C3" s="584">
        <v>45866</v>
      </c>
      <c r="D3" s="585"/>
      <c r="E3" s="621" t="e">
        <f>SUM(#REF!)</f>
        <v>#REF!</v>
      </c>
    </row>
    <row r="4" spans="1:5" s="156" customFormat="1" ht="15.6" hidden="1" customHeight="1" thickBot="1" x14ac:dyDescent="0.4">
      <c r="A4" s="155"/>
      <c r="B4" s="155"/>
      <c r="C4" s="586">
        <v>45867</v>
      </c>
      <c r="D4" s="587"/>
      <c r="E4" s="622"/>
    </row>
    <row r="5" spans="1:5" s="156" customFormat="1" hidden="1" x14ac:dyDescent="0.35">
      <c r="A5" s="155"/>
      <c r="B5" s="155"/>
      <c r="C5" s="588" t="s">
        <v>443</v>
      </c>
      <c r="D5" s="589"/>
      <c r="E5" s="155"/>
    </row>
    <row r="6" spans="1:5" s="156" customFormat="1" hidden="1" x14ac:dyDescent="0.35">
      <c r="A6" s="155"/>
      <c r="B6" s="155"/>
      <c r="C6" s="588" t="s">
        <v>444</v>
      </c>
      <c r="D6" s="589"/>
      <c r="E6" s="155"/>
    </row>
    <row r="7" spans="1:5" s="156" customFormat="1" ht="16.8" hidden="1" thickBot="1" x14ac:dyDescent="0.4">
      <c r="A7" s="155"/>
      <c r="B7" s="155"/>
      <c r="C7" s="590" t="s">
        <v>42</v>
      </c>
      <c r="D7" s="591"/>
      <c r="E7" s="155"/>
    </row>
    <row r="9" spans="1:5" s="156" customFormat="1" x14ac:dyDescent="0.35">
      <c r="A9" s="155" t="s">
        <v>99</v>
      </c>
      <c r="B9" s="155"/>
      <c r="C9" s="155"/>
      <c r="D9" s="155"/>
      <c r="E9" s="155"/>
    </row>
    <row r="10" spans="1:5" s="156" customFormat="1" ht="24" customHeight="1" x14ac:dyDescent="0.35">
      <c r="A10" s="155"/>
      <c r="B10" s="155"/>
      <c r="C10" s="155"/>
      <c r="D10" s="155"/>
      <c r="E10" s="155"/>
    </row>
    <row r="12" spans="1:5" s="156" customFormat="1" ht="15" customHeight="1" x14ac:dyDescent="0.35">
      <c r="A12" s="155"/>
      <c r="B12" s="204" t="s">
        <v>121</v>
      </c>
      <c r="C12" s="205" t="s">
        <v>123</v>
      </c>
      <c r="D12" s="592"/>
      <c r="E12" s="155"/>
    </row>
    <row r="13" spans="1:5" s="156" customFormat="1" ht="15" customHeight="1" x14ac:dyDescent="0.35">
      <c r="A13" s="155"/>
      <c r="B13" s="206" t="s">
        <v>120</v>
      </c>
      <c r="C13" s="207" t="s">
        <v>122</v>
      </c>
      <c r="D13" s="592"/>
      <c r="E13" s="155"/>
    </row>
    <row r="14" spans="1:5" s="156" customFormat="1" ht="15" customHeight="1" x14ac:dyDescent="0.35">
      <c r="A14" s="155"/>
      <c r="B14" s="206" t="s">
        <v>119</v>
      </c>
      <c r="C14" s="208" t="s">
        <v>124</v>
      </c>
      <c r="D14" s="593"/>
      <c r="E14" s="155"/>
    </row>
    <row r="15" spans="1:5" s="156" customFormat="1" ht="15" customHeight="1" x14ac:dyDescent="0.35">
      <c r="A15" s="155"/>
      <c r="B15" s="206" t="s">
        <v>118</v>
      </c>
      <c r="C15" s="208" t="s">
        <v>125</v>
      </c>
      <c r="D15" s="593"/>
      <c r="E15" s="155"/>
    </row>
    <row r="16" spans="1:5" s="156" customFormat="1" ht="15" customHeight="1" x14ac:dyDescent="0.35">
      <c r="A16" s="155"/>
      <c r="B16" s="206" t="s">
        <v>114</v>
      </c>
      <c r="C16" s="209" t="s">
        <v>147</v>
      </c>
      <c r="D16" s="594"/>
      <c r="E16" s="155"/>
    </row>
    <row r="17" spans="2:8" ht="15" customHeight="1" x14ac:dyDescent="0.35">
      <c r="B17" s="206" t="s">
        <v>115</v>
      </c>
      <c r="C17" s="208" t="s">
        <v>113</v>
      </c>
      <c r="D17" s="593"/>
    </row>
    <row r="18" spans="2:8" ht="15" customHeight="1" x14ac:dyDescent="0.35">
      <c r="B18" s="206" t="s">
        <v>116</v>
      </c>
      <c r="C18" s="208" t="s">
        <v>126</v>
      </c>
      <c r="D18" s="593"/>
    </row>
    <row r="19" spans="2:8" ht="15" customHeight="1" x14ac:dyDescent="0.35">
      <c r="B19" s="210" t="s">
        <v>117</v>
      </c>
      <c r="C19" s="211" t="s">
        <v>127</v>
      </c>
      <c r="D19" s="593"/>
    </row>
    <row r="21" spans="2:8" ht="15.6" customHeight="1" x14ac:dyDescent="0.35">
      <c r="B21" s="595"/>
      <c r="C21" s="595" t="s">
        <v>445</v>
      </c>
      <c r="D21" s="595" t="s">
        <v>446</v>
      </c>
      <c r="E21" s="595" t="s">
        <v>447</v>
      </c>
    </row>
    <row r="22" spans="2:8" x14ac:dyDescent="0.35">
      <c r="B22" s="596" t="s">
        <v>449</v>
      </c>
      <c r="C22" s="597">
        <f>Produção!N78</f>
        <v>542207.56772710336</v>
      </c>
      <c r="D22" s="597">
        <f>Produção!X78</f>
        <v>385623.05</v>
      </c>
      <c r="E22" s="597">
        <f t="shared" ref="E22:E25" si="0">C22-D22</f>
        <v>156584.51772710338</v>
      </c>
      <c r="F22" s="598">
        <f t="shared" ref="F22:F28" si="1">E22*100%/C22</f>
        <v>0.28879072710750764</v>
      </c>
    </row>
    <row r="23" spans="2:8" x14ac:dyDescent="0.35">
      <c r="B23" s="596" t="s">
        <v>450</v>
      </c>
      <c r="C23" s="597">
        <f>'Oper. Extras Estandes - ND'!N27</f>
        <v>91615.92921883933</v>
      </c>
      <c r="D23" s="597">
        <f>'Oper. Extras Estandes - ND'!X27</f>
        <v>40000</v>
      </c>
      <c r="E23" s="597">
        <f t="shared" si="0"/>
        <v>51615.92921883933</v>
      </c>
      <c r="F23" s="598">
        <f t="shared" si="1"/>
        <v>0.5633947028528894</v>
      </c>
    </row>
    <row r="24" spans="2:8" x14ac:dyDescent="0.35">
      <c r="B24" s="596" t="s">
        <v>485</v>
      </c>
      <c r="C24" s="597">
        <f>'Opções de Estande - ND'!N17</f>
        <v>1048180.6153145272</v>
      </c>
      <c r="D24" s="597">
        <f>'Opções de Estande - ND'!X17</f>
        <v>958269.61</v>
      </c>
      <c r="E24" s="597">
        <f t="shared" ref="E24" si="2">C24-D24</f>
        <v>89911.005314527196</v>
      </c>
      <c r="F24" s="598">
        <f t="shared" ref="F24" si="3">E24*100%/C24</f>
        <v>8.5778160749087728E-2</v>
      </c>
    </row>
    <row r="25" spans="2:8" x14ac:dyDescent="0.35">
      <c r="B25" s="596" t="s">
        <v>451</v>
      </c>
      <c r="C25" s="597">
        <f>'EXTRAS 1'!N25</f>
        <v>89648.316142661861</v>
      </c>
      <c r="D25" s="597">
        <f>'EXTRAS 1'!X25</f>
        <v>54898</v>
      </c>
      <c r="E25" s="597">
        <f t="shared" si="0"/>
        <v>34750.316142661861</v>
      </c>
      <c r="F25" s="598">
        <f t="shared" si="1"/>
        <v>0.38762932353756585</v>
      </c>
    </row>
    <row r="26" spans="2:8" x14ac:dyDescent="0.35">
      <c r="B26" s="596" t="s">
        <v>452</v>
      </c>
      <c r="C26" s="597">
        <f>'EXTRAS 2'!N53</f>
        <v>126577.77799179817</v>
      </c>
      <c r="D26" s="597">
        <f>'EXTRAS 2'!X53</f>
        <v>31514.47</v>
      </c>
      <c r="E26" s="597">
        <f>C26-D26</f>
        <v>95063.307991798167</v>
      </c>
      <c r="F26" s="598">
        <f t="shared" ref="F26" si="4">E26*100%/C26</f>
        <v>0.7510268350417556</v>
      </c>
    </row>
    <row r="27" spans="2:8" x14ac:dyDescent="0.35">
      <c r="B27" s="596" t="s">
        <v>453</v>
      </c>
      <c r="C27" s="597">
        <f>'Extra DPA'!N20</f>
        <v>3206.1637877469866</v>
      </c>
      <c r="D27" s="597">
        <f>'Extra DPA'!X20</f>
        <v>0</v>
      </c>
      <c r="E27" s="597">
        <f>C27-D27</f>
        <v>3206.1637877469866</v>
      </c>
      <c r="F27" s="598">
        <f t="shared" si="1"/>
        <v>1</v>
      </c>
    </row>
    <row r="28" spans="2:8" x14ac:dyDescent="0.35">
      <c r="B28" s="595" t="s">
        <v>42</v>
      </c>
      <c r="C28" s="599">
        <f>SUM(C22:C27)</f>
        <v>1901436.3701826772</v>
      </c>
      <c r="D28" s="599">
        <f>SUM(D22:D27)</f>
        <v>1470305.13</v>
      </c>
      <c r="E28" s="599">
        <f>SUM(E22:E27)</f>
        <v>431131.24018267688</v>
      </c>
      <c r="F28" s="598">
        <f t="shared" si="1"/>
        <v>0.22673976733770834</v>
      </c>
      <c r="H28" s="175"/>
    </row>
    <row r="30" spans="2:8" ht="200.1" hidden="1" customHeight="1" x14ac:dyDescent="0.35"/>
    <row r="31" spans="2:8" ht="16.8" thickBot="1" x14ac:dyDescent="0.4">
      <c r="C31" s="600" t="s">
        <v>354</v>
      </c>
      <c r="D31" s="601"/>
    </row>
    <row r="32" spans="2:8" ht="21.9" customHeight="1" thickBot="1" x14ac:dyDescent="0.4">
      <c r="B32" s="623" t="s">
        <v>448</v>
      </c>
      <c r="C32" s="624"/>
      <c r="D32" s="624"/>
      <c r="E32" s="624"/>
      <c r="F32" s="625"/>
    </row>
    <row r="33" spans="1:8" ht="24.9" customHeight="1" thickBot="1" x14ac:dyDescent="0.4">
      <c r="B33" s="604" t="s">
        <v>499</v>
      </c>
      <c r="C33" s="615">
        <v>800589.54</v>
      </c>
      <c r="D33" s="626">
        <v>1470037.05</v>
      </c>
      <c r="E33" s="605">
        <f>C33-D33</f>
        <v>-669447.51</v>
      </c>
      <c r="F33" s="603">
        <f>E33*100%/C33</f>
        <v>-0.83619317584389119</v>
      </c>
    </row>
    <row r="34" spans="1:8" ht="24.9" customHeight="1" thickBot="1" x14ac:dyDescent="0.4">
      <c r="B34" s="604" t="s">
        <v>500</v>
      </c>
      <c r="C34" s="615">
        <v>3795.99</v>
      </c>
      <c r="D34" s="627"/>
      <c r="E34" s="605">
        <f>C34-D33</f>
        <v>-1466241.06</v>
      </c>
      <c r="F34" s="603">
        <f t="shared" ref="F34:F40" si="5">E34*100%/C34</f>
        <v>-386.26051701927565</v>
      </c>
    </row>
    <row r="35" spans="1:8" ht="24.9" customHeight="1" thickBot="1" x14ac:dyDescent="0.4">
      <c r="B35" s="604" t="s">
        <v>501</v>
      </c>
      <c r="C35" s="615">
        <v>268732.84999999998</v>
      </c>
      <c r="D35" s="628"/>
      <c r="E35" s="605">
        <f>C35-D33</f>
        <v>-1201304.2000000002</v>
      </c>
      <c r="F35" s="603">
        <f t="shared" si="5"/>
        <v>-4.4702543808842137</v>
      </c>
    </row>
    <row r="36" spans="1:8" ht="24.9" customHeight="1" thickBot="1" x14ac:dyDescent="0.4">
      <c r="B36" s="604" t="s">
        <v>502</v>
      </c>
      <c r="C36" s="615">
        <v>61318.63</v>
      </c>
      <c r="D36" s="602">
        <f>C36*0.15</f>
        <v>9197.7945</v>
      </c>
      <c r="E36" s="605">
        <f>C36-D36</f>
        <v>52120.835500000001</v>
      </c>
      <c r="F36" s="603">
        <f t="shared" si="5"/>
        <v>0.85000000000000009</v>
      </c>
    </row>
    <row r="37" spans="1:8" ht="24.9" customHeight="1" thickBot="1" x14ac:dyDescent="0.4">
      <c r="B37" s="604" t="s">
        <v>503</v>
      </c>
      <c r="C37" s="615">
        <v>3874.4</v>
      </c>
      <c r="D37" s="602">
        <f>C37*0.15</f>
        <v>581.16</v>
      </c>
      <c r="E37" s="605">
        <f t="shared" ref="E37:E40" si="6">C37-D37</f>
        <v>3293.2400000000002</v>
      </c>
      <c r="F37" s="603">
        <f t="shared" si="5"/>
        <v>0.85000000000000009</v>
      </c>
    </row>
    <row r="38" spans="1:8" ht="24.9" customHeight="1" thickBot="1" x14ac:dyDescent="0.4">
      <c r="B38" s="604" t="s">
        <v>504</v>
      </c>
      <c r="C38" s="615">
        <v>592429.93000000005</v>
      </c>
      <c r="D38" s="602">
        <f>C38*0.15</f>
        <v>88864.489500000011</v>
      </c>
      <c r="E38" s="605">
        <f t="shared" si="6"/>
        <v>503565.44050000003</v>
      </c>
      <c r="F38" s="603">
        <f t="shared" si="5"/>
        <v>0.85</v>
      </c>
    </row>
    <row r="39" spans="1:8" ht="24.9" customHeight="1" thickBot="1" x14ac:dyDescent="0.4">
      <c r="B39" s="604" t="s">
        <v>505</v>
      </c>
      <c r="C39" s="615">
        <v>159363.26999999999</v>
      </c>
      <c r="D39" s="602">
        <f>C39*0.15</f>
        <v>23904.490499999996</v>
      </c>
      <c r="E39" s="605">
        <f t="shared" si="6"/>
        <v>135458.7795</v>
      </c>
      <c r="F39" s="603">
        <f t="shared" si="5"/>
        <v>0.85000000000000009</v>
      </c>
    </row>
    <row r="40" spans="1:8" ht="24.9" customHeight="1" thickBot="1" x14ac:dyDescent="0.4">
      <c r="B40" s="604" t="s">
        <v>506</v>
      </c>
      <c r="C40" s="615">
        <v>12000</v>
      </c>
      <c r="D40" s="602">
        <f>C40*0.15</f>
        <v>1800</v>
      </c>
      <c r="E40" s="605">
        <f t="shared" si="6"/>
        <v>10200</v>
      </c>
      <c r="F40" s="603">
        <f t="shared" si="5"/>
        <v>0.85</v>
      </c>
    </row>
    <row r="41" spans="1:8" ht="20.25" customHeight="1" thickBot="1" x14ac:dyDescent="0.4">
      <c r="B41" s="606"/>
      <c r="C41" s="607">
        <f>SUM(C33:C40)</f>
        <v>1902104.6099999999</v>
      </c>
      <c r="D41" s="608">
        <f>SUM(D33:D40)</f>
        <v>1594384.9845</v>
      </c>
      <c r="E41" s="608">
        <f>C41-D41</f>
        <v>307719.62549999985</v>
      </c>
      <c r="F41" s="603">
        <f>E41*100%/C41</f>
        <v>0.1617784972930589</v>
      </c>
      <c r="G41" s="609"/>
    </row>
    <row r="42" spans="1:8" x14ac:dyDescent="0.35">
      <c r="C42" s="610"/>
    </row>
    <row r="48" spans="1:8" s="156" customFormat="1" x14ac:dyDescent="0.35">
      <c r="A48" s="155"/>
      <c r="B48" s="155"/>
      <c r="C48" s="155"/>
      <c r="D48" s="155"/>
      <c r="E48" s="609"/>
      <c r="G48" s="155"/>
      <c r="H48" s="155"/>
    </row>
  </sheetData>
  <mergeCells count="3">
    <mergeCell ref="E3:E4"/>
    <mergeCell ref="B32:F32"/>
    <mergeCell ref="D33:D35"/>
  </mergeCells>
  <phoneticPr fontId="36" type="noConversion"/>
  <pageMargins left="0.51181102362204722" right="0.51181102362204722" top="0.39370078740157483" bottom="0.39370078740157483" header="0" footer="0.31496062992125984"/>
  <pageSetup paperSize="9" scale="85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CD24-E312-47BA-BF4A-006648191B26}">
  <sheetPr codeName="Planilha12">
    <pageSetUpPr autoPageBreaks="0"/>
  </sheetPr>
  <dimension ref="A1:AP84"/>
  <sheetViews>
    <sheetView showGridLines="0" topLeftCell="G1" zoomScale="60" zoomScaleNormal="60" workbookViewId="0">
      <pane ySplit="1" topLeftCell="A4" activePane="bottomLeft" state="frozen"/>
      <selection activeCell="N1" sqref="N1:N1048576"/>
      <selection pane="bottomLeft" activeCell="AP84" sqref="AO81:AP84"/>
    </sheetView>
  </sheetViews>
  <sheetFormatPr defaultColWidth="8.88671875" defaultRowHeight="21" x14ac:dyDescent="0.4"/>
  <cols>
    <col min="1" max="1" width="7.5546875" style="306" hidden="1" customWidth="1"/>
    <col min="2" max="2" width="10.44140625" style="306" customWidth="1"/>
    <col min="3" max="4" width="7.5546875" style="306" hidden="1" customWidth="1"/>
    <col min="5" max="5" width="15.109375" style="306" hidden="1" customWidth="1"/>
    <col min="6" max="6" width="39" style="306" customWidth="1"/>
    <col min="7" max="7" width="71.88671875" style="323" customWidth="1"/>
    <col min="8" max="9" width="7.44140625" style="309" hidden="1" customWidth="1"/>
    <col min="10" max="10" width="19.44140625" style="306" hidden="1" customWidth="1"/>
    <col min="11" max="11" width="26.44140625" style="306" customWidth="1"/>
    <col min="12" max="12" width="24.88671875" style="306" customWidth="1"/>
    <col min="13" max="13" width="27" style="306" customWidth="1"/>
    <col min="14" max="14" width="26.44140625" style="306" customWidth="1"/>
    <col min="15" max="16" width="4.88671875" style="306" hidden="1" customWidth="1"/>
    <col min="17" max="17" width="8.44140625" style="309" customWidth="1"/>
    <col min="18" max="18" width="8.44140625" style="309" hidden="1" customWidth="1"/>
    <col min="19" max="19" width="19.44140625" style="306" hidden="1" customWidth="1"/>
    <col min="20" max="20" width="26.88671875" style="306" customWidth="1"/>
    <col min="21" max="21" width="24.88671875" style="306" hidden="1" customWidth="1"/>
    <col min="22" max="22" width="9.88671875" style="306" hidden="1" customWidth="1"/>
    <col min="23" max="23" width="16.109375" style="306" hidden="1" customWidth="1"/>
    <col min="24" max="24" width="27.109375" style="306" customWidth="1"/>
    <col min="25" max="25" width="26.88671875" style="306" hidden="1" customWidth="1"/>
    <col min="26" max="26" width="20.88671875" style="306" hidden="1" customWidth="1"/>
    <col min="27" max="27" width="24.88671875" style="306" hidden="1" customWidth="1"/>
    <col min="28" max="28" width="38.109375" style="306" hidden="1" customWidth="1"/>
    <col min="29" max="29" width="14.109375" style="306" hidden="1" customWidth="1"/>
    <col min="30" max="30" width="7.88671875" style="306" hidden="1" customWidth="1"/>
    <col min="31" max="31" width="22.109375" style="306" hidden="1" customWidth="1"/>
    <col min="32" max="32" width="1.109375" style="306" hidden="1" customWidth="1"/>
    <col min="33" max="33" width="14" style="310" hidden="1" customWidth="1"/>
    <col min="34" max="34" width="11.88671875" style="306" hidden="1" customWidth="1"/>
    <col min="35" max="35" width="6.109375" style="306" hidden="1" customWidth="1"/>
    <col min="36" max="36" width="12.88671875" style="306" hidden="1" customWidth="1"/>
    <col min="37" max="37" width="13.109375" style="306" hidden="1" customWidth="1"/>
    <col min="38" max="38" width="13.5546875" style="306" hidden="1" customWidth="1"/>
    <col min="39" max="39" width="0" style="306" hidden="1" customWidth="1"/>
    <col min="40" max="40" width="23.5546875" style="306" customWidth="1"/>
    <col min="41" max="41" width="24.109375" style="306" customWidth="1"/>
    <col min="42" max="42" width="8.88671875" style="310"/>
    <col min="43" max="16384" width="8.88671875" style="306"/>
  </cols>
  <sheetData>
    <row r="1" spans="1:41" ht="49.5" customHeight="1" x14ac:dyDescent="0.4">
      <c r="B1" s="307"/>
      <c r="C1" s="308"/>
      <c r="D1" s="308"/>
      <c r="F1" s="652" t="s">
        <v>112</v>
      </c>
      <c r="G1" s="652"/>
    </row>
    <row r="2" spans="1:41" ht="24.75" customHeight="1" x14ac:dyDescent="0.4">
      <c r="B2" s="309"/>
      <c r="D2" s="308"/>
      <c r="F2" s="653" t="s">
        <v>0</v>
      </c>
      <c r="G2" s="653"/>
    </row>
    <row r="3" spans="1:41" ht="22.2" x14ac:dyDescent="0.4">
      <c r="B3" s="311"/>
      <c r="F3" s="312"/>
      <c r="G3" s="313"/>
    </row>
    <row r="4" spans="1:41" ht="22.2" x14ac:dyDescent="0.4">
      <c r="F4" s="314" t="s">
        <v>121</v>
      </c>
      <c r="G4" s="315" t="s">
        <v>123</v>
      </c>
    </row>
    <row r="5" spans="1:41" ht="22.2" x14ac:dyDescent="0.4">
      <c r="F5" s="316" t="s">
        <v>120</v>
      </c>
      <c r="G5" s="317" t="s">
        <v>122</v>
      </c>
    </row>
    <row r="6" spans="1:41" ht="22.2" x14ac:dyDescent="0.4">
      <c r="D6" s="306" t="s">
        <v>99</v>
      </c>
      <c r="F6" s="316" t="s">
        <v>119</v>
      </c>
      <c r="G6" s="318" t="s">
        <v>124</v>
      </c>
    </row>
    <row r="7" spans="1:41" ht="21.75" customHeight="1" x14ac:dyDescent="0.4">
      <c r="F7" s="316" t="s">
        <v>118</v>
      </c>
      <c r="G7" s="318" t="s">
        <v>125</v>
      </c>
      <c r="J7" s="306" t="s">
        <v>111</v>
      </c>
    </row>
    <row r="8" spans="1:41" ht="44.4" x14ac:dyDescent="0.4">
      <c r="F8" s="316" t="s">
        <v>114</v>
      </c>
      <c r="G8" s="319" t="s">
        <v>147</v>
      </c>
    </row>
    <row r="9" spans="1:41" ht="22.2" x14ac:dyDescent="0.4">
      <c r="F9" s="316" t="s">
        <v>115</v>
      </c>
      <c r="G9" s="318" t="s">
        <v>113</v>
      </c>
      <c r="J9" s="306" t="s">
        <v>99</v>
      </c>
    </row>
    <row r="10" spans="1:41" ht="27" customHeight="1" x14ac:dyDescent="0.4">
      <c r="F10" s="316" t="s">
        <v>116</v>
      </c>
      <c r="G10" s="318" t="s">
        <v>126</v>
      </c>
    </row>
    <row r="11" spans="1:41" ht="22.2" x14ac:dyDescent="0.4">
      <c r="F11" s="320" t="s">
        <v>117</v>
      </c>
      <c r="G11" s="321" t="s">
        <v>127</v>
      </c>
    </row>
    <row r="12" spans="1:41" ht="67.2" hidden="1" thickBot="1" x14ac:dyDescent="0.45">
      <c r="B12" s="322"/>
      <c r="M12" s="324"/>
      <c r="Q12" s="654" t="s">
        <v>1</v>
      </c>
      <c r="R12" s="655"/>
      <c r="S12" s="655"/>
      <c r="T12" s="656"/>
      <c r="U12" s="657" t="s">
        <v>2</v>
      </c>
      <c r="V12" s="658"/>
      <c r="W12" s="658"/>
      <c r="X12" s="659"/>
      <c r="Y12" s="325" t="s">
        <v>48</v>
      </c>
      <c r="Z12" s="326">
        <f>(1/(1-M14))-1</f>
        <v>0.24269914253759173</v>
      </c>
      <c r="AC12" s="660" t="s">
        <v>3</v>
      </c>
      <c r="AD12" s="661"/>
      <c r="AE12" s="662"/>
      <c r="AG12" s="663" t="s">
        <v>50</v>
      </c>
      <c r="AH12" s="664"/>
      <c r="AJ12" s="327" t="s">
        <v>52</v>
      </c>
      <c r="AK12" s="650" t="s">
        <v>51</v>
      </c>
      <c r="AL12" s="651"/>
    </row>
    <row r="13" spans="1:41" ht="21.6" thickBot="1" x14ac:dyDescent="0.45">
      <c r="A13" s="328" t="s">
        <v>4</v>
      </c>
      <c r="B13" s="329" t="s">
        <v>5</v>
      </c>
      <c r="C13" s="328" t="s">
        <v>6</v>
      </c>
      <c r="D13" s="328" t="s">
        <v>7</v>
      </c>
      <c r="E13" s="328" t="s">
        <v>8</v>
      </c>
      <c r="M13" s="330">
        <v>0.80469999999999997</v>
      </c>
    </row>
    <row r="14" spans="1:41" ht="45" thickBot="1" x14ac:dyDescent="0.45">
      <c r="A14" s="331">
        <v>0</v>
      </c>
      <c r="B14" s="332"/>
      <c r="C14" s="333"/>
      <c r="D14" s="334"/>
      <c r="E14" s="334"/>
      <c r="F14" s="335" t="s">
        <v>76</v>
      </c>
      <c r="G14" s="336" t="s">
        <v>77</v>
      </c>
      <c r="H14" s="337" t="s">
        <v>78</v>
      </c>
      <c r="I14" s="337" t="s">
        <v>79</v>
      </c>
      <c r="J14" s="338" t="s">
        <v>80</v>
      </c>
      <c r="K14" s="339" t="s">
        <v>9</v>
      </c>
      <c r="L14" s="340">
        <v>7.4999999999999997E-2</v>
      </c>
      <c r="M14" s="341">
        <f>1-M13</f>
        <v>0.19530000000000003</v>
      </c>
      <c r="N14" s="342" t="s">
        <v>74</v>
      </c>
      <c r="Q14" s="343" t="s">
        <v>81</v>
      </c>
      <c r="R14" s="344" t="s">
        <v>82</v>
      </c>
      <c r="S14" s="345" t="s">
        <v>83</v>
      </c>
      <c r="T14" s="346" t="s">
        <v>84</v>
      </c>
      <c r="U14" s="347" t="s">
        <v>85</v>
      </c>
      <c r="V14" s="348" t="s">
        <v>86</v>
      </c>
      <c r="W14" s="349" t="s">
        <v>87</v>
      </c>
      <c r="X14" s="349" t="s">
        <v>88</v>
      </c>
      <c r="Y14" s="350" t="s">
        <v>89</v>
      </c>
      <c r="Z14" s="351" t="s">
        <v>90</v>
      </c>
      <c r="AA14" s="352" t="s">
        <v>75</v>
      </c>
      <c r="AN14" s="365" t="s">
        <v>95</v>
      </c>
      <c r="AO14" s="366" t="s">
        <v>96</v>
      </c>
    </row>
    <row r="15" spans="1:41" ht="35.1" customHeight="1" thickBot="1" x14ac:dyDescent="0.5">
      <c r="A15" s="334">
        <v>1</v>
      </c>
      <c r="B15" s="353">
        <v>1</v>
      </c>
      <c r="C15" s="354" t="s">
        <v>128</v>
      </c>
      <c r="D15" s="334"/>
      <c r="E15" s="334"/>
      <c r="F15" s="629" t="s">
        <v>222</v>
      </c>
      <c r="G15" s="630"/>
      <c r="H15" s="630"/>
      <c r="I15" s="630"/>
      <c r="J15" s="630"/>
      <c r="K15" s="630"/>
      <c r="L15" s="630"/>
      <c r="M15" s="630"/>
      <c r="N15" s="647"/>
      <c r="Q15" s="629" t="str">
        <f>IF(F15&lt;&gt;"",F15,"")</f>
        <v>Custos Internos</v>
      </c>
      <c r="R15" s="630"/>
      <c r="S15" s="630"/>
      <c r="T15" s="630"/>
      <c r="U15" s="630"/>
      <c r="V15" s="630"/>
      <c r="W15" s="630"/>
      <c r="X15" s="630"/>
      <c r="Y15" s="647"/>
      <c r="AN15" s="629"/>
      <c r="AO15" s="630"/>
    </row>
    <row r="16" spans="1:41" ht="35.1" customHeight="1" thickBot="1" x14ac:dyDescent="0.5">
      <c r="A16" s="334">
        <v>2</v>
      </c>
      <c r="B16" s="353" t="s">
        <v>130</v>
      </c>
      <c r="C16" s="354" t="s">
        <v>129</v>
      </c>
      <c r="D16" s="334"/>
      <c r="E16" s="334"/>
      <c r="F16" s="633" t="s">
        <v>223</v>
      </c>
      <c r="G16" s="634"/>
      <c r="H16" s="634"/>
      <c r="I16" s="634"/>
      <c r="J16" s="634"/>
      <c r="K16" s="635"/>
      <c r="L16" s="356" t="s">
        <v>131</v>
      </c>
      <c r="M16" s="357" t="s">
        <v>132</v>
      </c>
      <c r="N16" s="358" t="s">
        <v>74</v>
      </c>
      <c r="Q16" s="633" t="str">
        <f>IF(F16&lt;&gt;"",F16,"")</f>
        <v>Equipe interna de produção</v>
      </c>
      <c r="R16" s="634"/>
      <c r="S16" s="634"/>
      <c r="T16" s="634"/>
      <c r="U16" s="634"/>
      <c r="V16" s="634"/>
      <c r="W16" s="634"/>
      <c r="X16" s="634"/>
      <c r="Y16" s="636"/>
      <c r="Z16" s="359" t="s">
        <v>133</v>
      </c>
      <c r="AA16" s="360" t="s">
        <v>75</v>
      </c>
      <c r="AC16" s="361" t="s">
        <v>91</v>
      </c>
      <c r="AD16" s="362" t="s">
        <v>92</v>
      </c>
      <c r="AE16" s="362" t="s">
        <v>32</v>
      </c>
      <c r="AG16" s="363" t="s">
        <v>93</v>
      </c>
      <c r="AH16" s="364" t="s">
        <v>94</v>
      </c>
      <c r="AK16" s="365" t="s">
        <v>95</v>
      </c>
      <c r="AL16" s="366" t="s">
        <v>96</v>
      </c>
      <c r="AN16" s="631"/>
      <c r="AO16" s="632"/>
    </row>
    <row r="17" spans="1:42" ht="80.099999999999994" customHeight="1" x14ac:dyDescent="0.4">
      <c r="A17" s="334">
        <v>3</v>
      </c>
      <c r="B17" s="353" t="s">
        <v>135</v>
      </c>
      <c r="C17" s="354" t="s">
        <v>134</v>
      </c>
      <c r="D17" s="334" t="s">
        <v>144</v>
      </c>
      <c r="E17" s="334" t="s">
        <v>154</v>
      </c>
      <c r="F17" s="367" t="s">
        <v>148</v>
      </c>
      <c r="G17" s="368" t="s">
        <v>149</v>
      </c>
      <c r="H17" s="369">
        <v>1</v>
      </c>
      <c r="I17" s="370">
        <v>1</v>
      </c>
      <c r="J17" s="371">
        <v>16603.12</v>
      </c>
      <c r="K17" s="372">
        <f>IF(F17&lt;&gt;"",H17*I17*J17,"")</f>
        <v>16603.12</v>
      </c>
      <c r="L17" s="372">
        <f>IF(K17&lt;&gt;"",IF(D17="INTERNO",0,K17*$L$14),"")</f>
        <v>0</v>
      </c>
      <c r="M17" s="372">
        <f>IF(K17&lt;&gt;"",IF(E17="FAT.OGGI",SUM(K17:L17)*(1/(1-$M$14)-1),L17*(1/(1-$M$14)-1)),0)</f>
        <v>4029.5629874487399</v>
      </c>
      <c r="N17" s="373">
        <f>SUM(K17:M17)</f>
        <v>20632.682987448738</v>
      </c>
      <c r="Q17" s="374">
        <f t="shared" ref="Q17:R21" si="0">IF(H17&lt;&gt;"",H17,"")</f>
        <v>1</v>
      </c>
      <c r="R17" s="375">
        <v>5</v>
      </c>
      <c r="S17" s="376">
        <v>650</v>
      </c>
      <c r="T17" s="377">
        <v>0</v>
      </c>
      <c r="U17" s="378">
        <f>IF(Q17&lt;&gt;"",K17-T17,"")</f>
        <v>16603.12</v>
      </c>
      <c r="V17" s="379">
        <f>IF(Q17&lt;&gt;"",0%,"")</f>
        <v>0</v>
      </c>
      <c r="W17" s="380">
        <f>IF(Q17&lt;&gt;"",V17*U17,"")</f>
        <v>0</v>
      </c>
      <c r="X17" s="380">
        <f>IF(Q17&lt;&gt;"",W17+T17,"")</f>
        <v>0</v>
      </c>
      <c r="Y17" s="381">
        <f t="shared" ref="Y17:Y22" si="1">IF(Q17&lt;&gt;"",X17+M17,"")</f>
        <v>4029.5629874487399</v>
      </c>
      <c r="Z17" s="382">
        <f>IF(Q17&lt;&gt;"", IFERROR(U17/K17, 0), 0)</f>
        <v>1</v>
      </c>
      <c r="AA17" s="383">
        <f>IFERROR(T17/$T$22, "")</f>
        <v>0</v>
      </c>
      <c r="AG17" s="384" t="s">
        <v>342</v>
      </c>
      <c r="AN17" s="518">
        <f>X17-AO17</f>
        <v>0</v>
      </c>
      <c r="AO17" s="519"/>
    </row>
    <row r="18" spans="1:42" ht="80.099999999999994" customHeight="1" x14ac:dyDescent="0.4">
      <c r="A18" s="334">
        <v>4</v>
      </c>
      <c r="B18" s="353" t="s">
        <v>97</v>
      </c>
      <c r="C18" s="354" t="s">
        <v>134</v>
      </c>
      <c r="D18" s="334" t="s">
        <v>144</v>
      </c>
      <c r="E18" s="334" t="s">
        <v>154</v>
      </c>
      <c r="F18" s="367" t="s">
        <v>150</v>
      </c>
      <c r="G18" s="368" t="s">
        <v>434</v>
      </c>
      <c r="H18" s="369">
        <v>1</v>
      </c>
      <c r="I18" s="385">
        <v>0.5</v>
      </c>
      <c r="J18" s="386">
        <v>6198.5</v>
      </c>
      <c r="K18" s="372">
        <f>IF(F18&lt;&gt;"",H18*I18*J18,"")</f>
        <v>3099.25</v>
      </c>
      <c r="L18" s="372">
        <f>IF(K18&lt;&gt;"",IF(D18="INTERNO",0,K18*$L$14),"")</f>
        <v>0</v>
      </c>
      <c r="M18" s="372">
        <f>IF(K18&lt;&gt;"",IF(E18="FAT.OGGI",SUM(K18:L18)*(1/(1-$M$14)-1),L18*(1/(1-$M$14)-1)),0)</f>
        <v>752.1853175096312</v>
      </c>
      <c r="N18" s="373">
        <f>SUM(K18:M18)</f>
        <v>3851.4353175096312</v>
      </c>
      <c r="Q18" s="374">
        <f t="shared" si="0"/>
        <v>1</v>
      </c>
      <c r="R18" s="375">
        <v>1</v>
      </c>
      <c r="S18" s="376">
        <v>0</v>
      </c>
      <c r="T18" s="376">
        <f>IF(Q18&lt;&gt;"",Q18*R18*S18,"")</f>
        <v>0</v>
      </c>
      <c r="U18" s="378">
        <f>IF(Q18&lt;&gt;"",K18-T18,"")</f>
        <v>3099.25</v>
      </c>
      <c r="V18" s="379">
        <f>IF(Q18&lt;&gt;"",0%,"")</f>
        <v>0</v>
      </c>
      <c r="W18" s="380">
        <f>IF(Q18&lt;&gt;"",V18*U18,"")</f>
        <v>0</v>
      </c>
      <c r="X18" s="380">
        <f>IF(Q18&lt;&gt;"",W18+T18,"")</f>
        <v>0</v>
      </c>
      <c r="Y18" s="381">
        <f t="shared" si="1"/>
        <v>752.1853175096312</v>
      </c>
      <c r="Z18" s="382">
        <f>IF(Q18&lt;&gt;"", IFERROR(U18/K18, 0), 0)</f>
        <v>1</v>
      </c>
      <c r="AA18" s="383">
        <f>IFERROR(T18/$T$22, "")</f>
        <v>0</v>
      </c>
      <c r="AG18" s="384" t="s">
        <v>342</v>
      </c>
      <c r="AN18" s="518">
        <f t="shared" ref="AN18:AN76" si="2">X18-AO18</f>
        <v>0</v>
      </c>
      <c r="AO18" s="519"/>
    </row>
    <row r="19" spans="1:42" ht="80.099999999999994" customHeight="1" x14ac:dyDescent="0.4">
      <c r="A19" s="334">
        <v>5</v>
      </c>
      <c r="B19" s="353" t="s">
        <v>136</v>
      </c>
      <c r="C19" s="354" t="s">
        <v>134</v>
      </c>
      <c r="D19" s="334" t="s">
        <v>144</v>
      </c>
      <c r="E19" s="334" t="s">
        <v>154</v>
      </c>
      <c r="F19" s="367" t="s">
        <v>273</v>
      </c>
      <c r="G19" s="387" t="s">
        <v>151</v>
      </c>
      <c r="H19" s="388">
        <v>1</v>
      </c>
      <c r="I19" s="385">
        <v>1</v>
      </c>
      <c r="J19" s="389">
        <v>10500</v>
      </c>
      <c r="K19" s="372">
        <f>IF(F19&lt;&gt;"",H19*I19*J19,"")</f>
        <v>10500</v>
      </c>
      <c r="L19" s="372">
        <f>IF(K19&lt;&gt;"",IF(D19="INTERNO",0,K19*$L$14),"")</f>
        <v>0</v>
      </c>
      <c r="M19" s="372">
        <f>IF(K19&lt;&gt;"",IF(E19="FAT.OGGI",SUM(K19:L19)*(1/(1-$M$14)-1),L19*(1/(1-$M$14)-1)),0)</f>
        <v>2548.340996644713</v>
      </c>
      <c r="N19" s="373">
        <f>SUM(K19:M19)</f>
        <v>13048.340996644713</v>
      </c>
      <c r="Q19" s="374">
        <f t="shared" si="0"/>
        <v>1</v>
      </c>
      <c r="R19" s="375">
        <v>2</v>
      </c>
      <c r="S19" s="376">
        <v>10500</v>
      </c>
      <c r="T19" s="376">
        <v>0</v>
      </c>
      <c r="U19" s="378">
        <f>IF(Q19&lt;&gt;"",K19-T19,"")</f>
        <v>10500</v>
      </c>
      <c r="V19" s="379">
        <f>IF(Q19&lt;&gt;"",0%,"")</f>
        <v>0</v>
      </c>
      <c r="W19" s="380">
        <f>IF(Q19&lt;&gt;"",V19*U19,"")</f>
        <v>0</v>
      </c>
      <c r="X19" s="380">
        <f>IF(Q19&lt;&gt;"",W19+T19,"")</f>
        <v>0</v>
      </c>
      <c r="Y19" s="381">
        <f t="shared" si="1"/>
        <v>2548.340996644713</v>
      </c>
      <c r="Z19" s="382">
        <f>IF(Q19&lt;&gt;"", IFERROR(U19/K19, 0), 0)</f>
        <v>1</v>
      </c>
      <c r="AA19" s="383">
        <f>IFERROR(T19/$T$22, "")</f>
        <v>0</v>
      </c>
      <c r="AG19" s="390"/>
      <c r="AN19" s="518">
        <f t="shared" si="2"/>
        <v>0</v>
      </c>
      <c r="AO19" s="519"/>
    </row>
    <row r="20" spans="1:42" ht="80.099999999999994" customHeight="1" x14ac:dyDescent="0.4">
      <c r="A20" s="334">
        <v>6</v>
      </c>
      <c r="B20" s="353" t="s">
        <v>137</v>
      </c>
      <c r="C20" s="354" t="s">
        <v>134</v>
      </c>
      <c r="D20" s="334" t="s">
        <v>144</v>
      </c>
      <c r="E20" s="334" t="s">
        <v>154</v>
      </c>
      <c r="F20" s="367" t="s">
        <v>274</v>
      </c>
      <c r="G20" s="387" t="s">
        <v>152</v>
      </c>
      <c r="H20" s="388">
        <v>1</v>
      </c>
      <c r="I20" s="385">
        <v>1</v>
      </c>
      <c r="J20" s="389">
        <v>9270</v>
      </c>
      <c r="K20" s="372">
        <f>IF(F20&lt;&gt;"",H20*I20*J20,"")</f>
        <v>9270</v>
      </c>
      <c r="L20" s="372">
        <f>IF(K20&lt;&gt;"",IF(D20="INTERNO",0,K20*$L$14),"")</f>
        <v>0</v>
      </c>
      <c r="M20" s="372">
        <f>IF(K20&lt;&gt;"",IF(E20="FAT.OGGI",SUM(K20:L20)*(1/(1-$M$14)-1),L20*(1/(1-$M$14)-1)),0)</f>
        <v>2249.8210513234753</v>
      </c>
      <c r="N20" s="373">
        <f>SUM(K20:M20)</f>
        <v>11519.821051323475</v>
      </c>
      <c r="Q20" s="374">
        <f t="shared" si="0"/>
        <v>1</v>
      </c>
      <c r="R20" s="375">
        <f t="shared" si="0"/>
        <v>1</v>
      </c>
      <c r="S20" s="376">
        <v>0</v>
      </c>
      <c r="T20" s="376">
        <v>16286.2</v>
      </c>
      <c r="U20" s="378">
        <f>IF(Q20&lt;&gt;"",K20-T20,"")</f>
        <v>-7016.2000000000007</v>
      </c>
      <c r="V20" s="379">
        <f>IF(Q20&lt;&gt;"",0%,"")</f>
        <v>0</v>
      </c>
      <c r="W20" s="380">
        <f>IF(Q20&lt;&gt;"",V20*U20,"")</f>
        <v>0</v>
      </c>
      <c r="X20" s="380">
        <f>IF(Q20&lt;&gt;"",W20+T20,"")</f>
        <v>16286.2</v>
      </c>
      <c r="Y20" s="381">
        <f t="shared" si="1"/>
        <v>18536.021051323478</v>
      </c>
      <c r="Z20" s="382">
        <f>IF(Q20&lt;&gt;"", IFERROR(U20/K20, 0), 0)</f>
        <v>-0.75687162891046389</v>
      </c>
      <c r="AA20" s="383">
        <f>IFERROR(T20/$T$22, "")</f>
        <v>0.31755520978352852</v>
      </c>
      <c r="AG20" s="390"/>
      <c r="AN20" s="518">
        <f t="shared" si="2"/>
        <v>0</v>
      </c>
      <c r="AO20" s="519">
        <f>3250+650+2636.2+3250+3250+3250</f>
        <v>16286.2</v>
      </c>
      <c r="AP20" s="310" t="s">
        <v>495</v>
      </c>
    </row>
    <row r="21" spans="1:42" ht="80.099999999999994" customHeight="1" x14ac:dyDescent="0.4">
      <c r="A21" s="334">
        <v>7</v>
      </c>
      <c r="B21" s="353" t="s">
        <v>138</v>
      </c>
      <c r="C21" s="354" t="s">
        <v>134</v>
      </c>
      <c r="D21" s="334" t="s">
        <v>144</v>
      </c>
      <c r="E21" s="334" t="s">
        <v>154</v>
      </c>
      <c r="F21" s="391" t="s">
        <v>310</v>
      </c>
      <c r="G21" s="392" t="s">
        <v>153</v>
      </c>
      <c r="H21" s="388">
        <v>1</v>
      </c>
      <c r="I21" s="385">
        <v>1</v>
      </c>
      <c r="J21" s="389">
        <v>6641</v>
      </c>
      <c r="K21" s="393">
        <f>IF(F21&lt;&gt;"",H21*I21*J21,"")</f>
        <v>6641</v>
      </c>
      <c r="L21" s="393">
        <f>IF(K21&lt;&gt;"",IF(D21="INTERNO",0,K21*$L$14),"")</f>
        <v>0</v>
      </c>
      <c r="M21" s="393">
        <f>IF(K21&lt;&gt;"",IF(E21="FAT.OGGI",SUM(K21:L21)*(1/(1-$M$14)-1),L21*(1/(1-$M$14)-1)),0)</f>
        <v>1611.7650055921467</v>
      </c>
      <c r="N21" s="394">
        <f>SUM(K21:M21)</f>
        <v>8252.7650055921476</v>
      </c>
      <c r="Q21" s="395">
        <f t="shared" si="0"/>
        <v>1</v>
      </c>
      <c r="R21" s="396">
        <v>2</v>
      </c>
      <c r="S21" s="397">
        <v>7000</v>
      </c>
      <c r="T21" s="398">
        <v>35000</v>
      </c>
      <c r="U21" s="399">
        <f>IF(Q21&lt;&gt;"",K21-T21,"")</f>
        <v>-28359</v>
      </c>
      <c r="V21" s="400">
        <f>IF(Q21&lt;&gt;"",0%,"")</f>
        <v>0</v>
      </c>
      <c r="W21" s="401">
        <f>IF(Q21&lt;&gt;"",V21*U21,"")</f>
        <v>0</v>
      </c>
      <c r="X21" s="401">
        <f>IF(Q21&lt;&gt;"",W21+T21,"")</f>
        <v>35000</v>
      </c>
      <c r="Y21" s="402">
        <f t="shared" si="1"/>
        <v>36611.765005592148</v>
      </c>
      <c r="Z21" s="382">
        <f>IF(Q21&lt;&gt;"", IFERROR(U21/K21, 0), 0)</f>
        <v>-4.2702906188826981</v>
      </c>
      <c r="AA21" s="383">
        <f>IFERROR(T21/$T$22, "")</f>
        <v>0.68244479021647153</v>
      </c>
      <c r="AG21" s="390"/>
      <c r="AN21" s="518">
        <f t="shared" si="2"/>
        <v>0</v>
      </c>
      <c r="AO21" s="519">
        <f>10500+10500+7000+7000</f>
        <v>35000</v>
      </c>
      <c r="AP21" s="310" t="s">
        <v>477</v>
      </c>
    </row>
    <row r="22" spans="1:42" ht="35.1" customHeight="1" thickBot="1" x14ac:dyDescent="0.5">
      <c r="A22" s="334">
        <v>8</v>
      </c>
      <c r="B22" s="353"/>
      <c r="C22" s="354" t="s">
        <v>142</v>
      </c>
      <c r="D22" s="334"/>
      <c r="E22" s="334"/>
      <c r="F22" s="648" t="s">
        <v>143</v>
      </c>
      <c r="G22" s="649"/>
      <c r="H22" s="649"/>
      <c r="I22" s="649"/>
      <c r="J22" s="649"/>
      <c r="K22" s="403">
        <f>SUM(K17:K21)</f>
        <v>46113.369999999995</v>
      </c>
      <c r="L22" s="403">
        <f>SUM(L17:L21)</f>
        <v>0</v>
      </c>
      <c r="M22" s="403">
        <f>SUM(M17:M21)</f>
        <v>11191.675358518707</v>
      </c>
      <c r="N22" s="404">
        <f>SUM(N17:N21)</f>
        <v>57305.045358518706</v>
      </c>
      <c r="Q22" s="643" t="s">
        <v>143</v>
      </c>
      <c r="R22" s="644"/>
      <c r="S22" s="644"/>
      <c r="T22" s="405">
        <f>SUM(T17:T21)</f>
        <v>51286.2</v>
      </c>
      <c r="U22" s="406">
        <f>SUM(U17:U21)</f>
        <v>-5172.8300000000017</v>
      </c>
      <c r="V22" s="407"/>
      <c r="W22" s="407"/>
      <c r="X22" s="408">
        <f>SUM(X17:X21)</f>
        <v>51286.2</v>
      </c>
      <c r="Y22" s="409">
        <f t="shared" si="1"/>
        <v>62477.875358518708</v>
      </c>
      <c r="AN22" s="518"/>
      <c r="AO22" s="519"/>
    </row>
    <row r="23" spans="1:42" ht="35.1" customHeight="1" thickBot="1" x14ac:dyDescent="0.5">
      <c r="A23" s="334">
        <v>9</v>
      </c>
      <c r="B23" s="353">
        <v>2</v>
      </c>
      <c r="C23" s="354" t="s">
        <v>128</v>
      </c>
      <c r="D23" s="334"/>
      <c r="E23" s="334"/>
      <c r="F23" s="637" t="s">
        <v>236</v>
      </c>
      <c r="G23" s="638"/>
      <c r="H23" s="638"/>
      <c r="I23" s="638"/>
      <c r="J23" s="638"/>
      <c r="K23" s="638"/>
      <c r="L23" s="638"/>
      <c r="M23" s="638"/>
      <c r="N23" s="639"/>
      <c r="Q23" s="640" t="str">
        <f>IF(F23&lt;&gt;"",F23,"")</f>
        <v>Espaço</v>
      </c>
      <c r="R23" s="641"/>
      <c r="S23" s="641"/>
      <c r="T23" s="641"/>
      <c r="U23" s="641"/>
      <c r="V23" s="641"/>
      <c r="W23" s="641"/>
      <c r="X23" s="641"/>
      <c r="Y23" s="642"/>
      <c r="AN23" s="518"/>
      <c r="AO23" s="519"/>
    </row>
    <row r="24" spans="1:42" ht="35.1" customHeight="1" x14ac:dyDescent="0.45">
      <c r="A24" s="334">
        <v>10</v>
      </c>
      <c r="B24" s="353" t="s">
        <v>155</v>
      </c>
      <c r="C24" s="354" t="s">
        <v>129</v>
      </c>
      <c r="D24" s="334"/>
      <c r="E24" s="334"/>
      <c r="F24" s="633" t="s">
        <v>236</v>
      </c>
      <c r="G24" s="634"/>
      <c r="H24" s="634"/>
      <c r="I24" s="634"/>
      <c r="J24" s="634"/>
      <c r="K24" s="635"/>
      <c r="L24" s="356" t="s">
        <v>131</v>
      </c>
      <c r="M24" s="357" t="s">
        <v>132</v>
      </c>
      <c r="N24" s="358" t="s">
        <v>74</v>
      </c>
      <c r="Q24" s="633" t="str">
        <f>IF(F24&lt;&gt;"",F24,"")</f>
        <v>Espaço</v>
      </c>
      <c r="R24" s="634"/>
      <c r="S24" s="634"/>
      <c r="T24" s="634"/>
      <c r="U24" s="634"/>
      <c r="V24" s="634"/>
      <c r="W24" s="634"/>
      <c r="X24" s="634"/>
      <c r="Y24" s="636"/>
      <c r="Z24" s="359" t="s">
        <v>133</v>
      </c>
      <c r="AA24" s="360" t="s">
        <v>75</v>
      </c>
      <c r="AN24" s="518"/>
      <c r="AO24" s="519"/>
    </row>
    <row r="25" spans="1:42" ht="80.099999999999994" customHeight="1" thickBot="1" x14ac:dyDescent="0.45">
      <c r="A25" s="334">
        <v>11</v>
      </c>
      <c r="B25" s="353" t="s">
        <v>156</v>
      </c>
      <c r="C25" s="354" t="s">
        <v>134</v>
      </c>
      <c r="D25" s="334" t="s">
        <v>157</v>
      </c>
      <c r="E25" s="334" t="s">
        <v>154</v>
      </c>
      <c r="F25" s="410" t="s">
        <v>125</v>
      </c>
      <c r="G25" s="387" t="s">
        <v>237</v>
      </c>
      <c r="H25" s="411">
        <v>1</v>
      </c>
      <c r="I25" s="411">
        <v>1</v>
      </c>
      <c r="J25" s="412">
        <v>0</v>
      </c>
      <c r="K25" s="413">
        <f>IF(F25&lt;&gt;"",H25*I25*J25,"")</f>
        <v>0</v>
      </c>
      <c r="L25" s="413">
        <f>IF(K25&lt;&gt;"",IF(D25="INTERNO",0,K25*$L$14),"")</f>
        <v>0</v>
      </c>
      <c r="M25" s="413">
        <f>IF(K25&lt;&gt;"",IF(E25="FAT.OGGI",SUM(K25:L25)*(1/(1-$M$14)-1),L25*(1/(1-$M$14)-1)),0)</f>
        <v>0</v>
      </c>
      <c r="N25" s="414">
        <f>SUM(K25:M25)</f>
        <v>0</v>
      </c>
      <c r="Q25" s="415">
        <f>IF(H25&lt;&gt;"",H25,"")</f>
        <v>1</v>
      </c>
      <c r="R25" s="416">
        <f>IF(I25&lt;&gt;"",I25,"")</f>
        <v>1</v>
      </c>
      <c r="S25" s="417">
        <v>0</v>
      </c>
      <c r="T25" s="417">
        <f>IF(Q25&lt;&gt;"",Q25*R25*S25,"")</f>
        <v>0</v>
      </c>
      <c r="U25" s="418">
        <f>IF(Q25&lt;&gt;"",K25-T25,"")</f>
        <v>0</v>
      </c>
      <c r="V25" s="419">
        <f>IF(Q25&lt;&gt;"",0%,"")</f>
        <v>0</v>
      </c>
      <c r="W25" s="420">
        <f>IF(Q25&lt;&gt;"",V25*U25,"")</f>
        <v>0</v>
      </c>
      <c r="X25" s="420">
        <f>IF(Q25&lt;&gt;"",W25+T25,"")</f>
        <v>0</v>
      </c>
      <c r="Y25" s="402">
        <f>IF(Q25&lt;&gt;"",X25+M25,"")</f>
        <v>0</v>
      </c>
      <c r="Z25" s="382">
        <f>IF(Q25&lt;&gt;"", IFERROR(U25/K25, 0), 0)</f>
        <v>0</v>
      </c>
      <c r="AA25" s="383">
        <f>IFERROR(T25/$T$37, "")</f>
        <v>0</v>
      </c>
      <c r="AN25" s="518">
        <f>X25-AO25</f>
        <v>0</v>
      </c>
      <c r="AO25" s="519"/>
    </row>
    <row r="26" spans="1:42" ht="35.1" customHeight="1" thickBot="1" x14ac:dyDescent="0.5">
      <c r="A26" s="334">
        <v>12</v>
      </c>
      <c r="B26" s="353">
        <v>3</v>
      </c>
      <c r="C26" s="354" t="s">
        <v>128</v>
      </c>
      <c r="D26" s="334"/>
      <c r="E26" s="334"/>
      <c r="F26" s="637" t="s">
        <v>224</v>
      </c>
      <c r="G26" s="638"/>
      <c r="H26" s="638"/>
      <c r="I26" s="638"/>
      <c r="J26" s="638"/>
      <c r="K26" s="638"/>
      <c r="L26" s="638"/>
      <c r="M26" s="638"/>
      <c r="N26" s="639"/>
      <c r="Q26" s="640" t="str">
        <f>IF(F26&lt;&gt;"",F26,"")</f>
        <v xml:space="preserve">Estande </v>
      </c>
      <c r="R26" s="641"/>
      <c r="S26" s="641"/>
      <c r="T26" s="641"/>
      <c r="U26" s="641"/>
      <c r="V26" s="641"/>
      <c r="W26" s="641"/>
      <c r="X26" s="641"/>
      <c r="Y26" s="642"/>
      <c r="AN26" s="518"/>
      <c r="AO26" s="519"/>
    </row>
    <row r="27" spans="1:42" ht="35.1" customHeight="1" x14ac:dyDescent="0.45">
      <c r="A27" s="334">
        <v>13</v>
      </c>
      <c r="B27" s="353" t="s">
        <v>158</v>
      </c>
      <c r="C27" s="354" t="s">
        <v>129</v>
      </c>
      <c r="D27" s="334"/>
      <c r="E27" s="334"/>
      <c r="F27" s="633" t="s">
        <v>275</v>
      </c>
      <c r="G27" s="634"/>
      <c r="H27" s="634"/>
      <c r="I27" s="634"/>
      <c r="J27" s="634"/>
      <c r="K27" s="635"/>
      <c r="L27" s="356" t="s">
        <v>131</v>
      </c>
      <c r="M27" s="357" t="s">
        <v>132</v>
      </c>
      <c r="N27" s="358" t="s">
        <v>74</v>
      </c>
      <c r="Q27" s="633" t="str">
        <f>IF(F27&lt;&gt;"",F27,"")</f>
        <v>Estande - Carol</v>
      </c>
      <c r="R27" s="634"/>
      <c r="S27" s="634"/>
      <c r="T27" s="634"/>
      <c r="U27" s="634"/>
      <c r="V27" s="634"/>
      <c r="W27" s="634"/>
      <c r="X27" s="634"/>
      <c r="Y27" s="636"/>
      <c r="Z27" s="359" t="s">
        <v>133</v>
      </c>
      <c r="AA27" s="360" t="s">
        <v>75</v>
      </c>
      <c r="AN27" s="518"/>
      <c r="AO27" s="519"/>
    </row>
    <row r="28" spans="1:42" ht="80.099999999999994" customHeight="1" x14ac:dyDescent="0.4">
      <c r="A28" s="334">
        <v>14</v>
      </c>
      <c r="B28" s="353" t="s">
        <v>159</v>
      </c>
      <c r="C28" s="354" t="s">
        <v>134</v>
      </c>
      <c r="D28" s="334" t="s">
        <v>157</v>
      </c>
      <c r="E28" s="334" t="s">
        <v>154</v>
      </c>
      <c r="F28" s="410" t="s">
        <v>167</v>
      </c>
      <c r="G28" s="387" t="s">
        <v>230</v>
      </c>
      <c r="H28" s="411">
        <v>1</v>
      </c>
      <c r="I28" s="411">
        <v>1</v>
      </c>
      <c r="J28" s="412">
        <v>9200</v>
      </c>
      <c r="K28" s="413">
        <f t="shared" ref="K28:K36" si="3">IF(F28&lt;&gt;"",H28*I28*J28,"")</f>
        <v>9200</v>
      </c>
      <c r="L28" s="413">
        <f t="shared" ref="L28:L36" si="4">IF(K28&lt;&gt;"",IF(D28="INTERNO",0,K28*$L$14),"")</f>
        <v>690</v>
      </c>
      <c r="M28" s="413">
        <f>IF(K28&lt;&gt;"",IF(E28="FAT.OGGI",SUM(K28:L28)*(1/(1-$M$14)-1),L28*(1/(1-$M$14)-1)),0)</f>
        <v>2400.2945196967821</v>
      </c>
      <c r="N28" s="414">
        <f t="shared" ref="N28:N36" si="5">SUM(K28:M28)</f>
        <v>12290.294519696781</v>
      </c>
      <c r="O28" s="421"/>
      <c r="Q28" s="415">
        <f t="shared" ref="Q28:Q36" si="6">IF(H28&lt;&gt;"",H28,"")</f>
        <v>1</v>
      </c>
      <c r="R28" s="416">
        <f t="shared" ref="R28:R36" si="7">IF(I28&lt;&gt;"",I28,"")</f>
        <v>1</v>
      </c>
      <c r="S28" s="417">
        <v>1477.06</v>
      </c>
      <c r="T28" s="422">
        <v>6109.98</v>
      </c>
      <c r="U28" s="418">
        <f t="shared" ref="U28:U36" si="8">IF(Q28&lt;&gt;"",K28-T28,"")</f>
        <v>3090.0200000000004</v>
      </c>
      <c r="V28" s="419">
        <f t="shared" ref="V28:V36" si="9">IF(Q28&lt;&gt;"",0%,"")</f>
        <v>0</v>
      </c>
      <c r="W28" s="420">
        <f t="shared" ref="W28:W36" si="10">IF(Q28&lt;&gt;"",V28*U28,"")</f>
        <v>0</v>
      </c>
      <c r="X28" s="420">
        <f t="shared" ref="X28:X36" si="11">IF(Q28&lt;&gt;"",W28+T28,"")</f>
        <v>6109.98</v>
      </c>
      <c r="Y28" s="402">
        <f t="shared" ref="Y28:Y37" si="12">IF(Q28&lt;&gt;"",X28+M28,"")</f>
        <v>8510.2745196967808</v>
      </c>
      <c r="Z28" s="382">
        <f t="shared" ref="Z28:Z36" si="13">IF(Q28&lt;&gt;"", IFERROR(U28/K28, 0), 0)</f>
        <v>0.33587173913043483</v>
      </c>
      <c r="AA28" s="383">
        <f>IFERROR(T28/$T$37, "")</f>
        <v>0.42548666502321031</v>
      </c>
      <c r="AG28" s="310" t="s">
        <v>344</v>
      </c>
      <c r="AN28" s="518">
        <f>X28-AO28</f>
        <v>0</v>
      </c>
      <c r="AO28" s="519">
        <v>6109.98</v>
      </c>
      <c r="AP28" s="310" t="s">
        <v>479</v>
      </c>
    </row>
    <row r="29" spans="1:42" ht="80.099999999999994" customHeight="1" x14ac:dyDescent="0.4">
      <c r="A29" s="334">
        <v>15</v>
      </c>
      <c r="B29" s="353" t="s">
        <v>160</v>
      </c>
      <c r="C29" s="354" t="s">
        <v>134</v>
      </c>
      <c r="D29" s="334" t="s">
        <v>157</v>
      </c>
      <c r="E29" s="334" t="s">
        <v>154</v>
      </c>
      <c r="F29" s="367" t="s">
        <v>164</v>
      </c>
      <c r="G29" s="423" t="s">
        <v>165</v>
      </c>
      <c r="H29" s="411">
        <v>1</v>
      </c>
      <c r="I29" s="411">
        <v>4</v>
      </c>
      <c r="J29" s="424">
        <v>2900</v>
      </c>
      <c r="K29" s="412">
        <f t="shared" si="3"/>
        <v>11600</v>
      </c>
      <c r="L29" s="412">
        <f t="shared" si="4"/>
        <v>870</v>
      </c>
      <c r="M29" s="412">
        <f t="shared" ref="M29:M36" si="14">IF(K29&lt;&gt;"",IF(E29="FAT.OGGI",SUM(K29:L29)*(1/(1-$M$14)-1),L29*(1/(1-$M$14)-1)),0)</f>
        <v>3026.4583074437687</v>
      </c>
      <c r="N29" s="425">
        <f t="shared" si="5"/>
        <v>15496.458307443769</v>
      </c>
      <c r="O29" s="426"/>
      <c r="Q29" s="415">
        <f t="shared" si="6"/>
        <v>1</v>
      </c>
      <c r="R29" s="416">
        <v>0</v>
      </c>
      <c r="S29" s="417">
        <v>2118</v>
      </c>
      <c r="T29" s="427">
        <f t="shared" ref="T29:T35" si="15">IF(Q29&lt;&gt;"",Q29*R29*S29,"")</f>
        <v>0</v>
      </c>
      <c r="U29" s="418">
        <f t="shared" si="8"/>
        <v>11600</v>
      </c>
      <c r="V29" s="419">
        <f t="shared" si="9"/>
        <v>0</v>
      </c>
      <c r="W29" s="420">
        <f t="shared" si="10"/>
        <v>0</v>
      </c>
      <c r="X29" s="420">
        <f t="shared" si="11"/>
        <v>0</v>
      </c>
      <c r="Y29" s="402">
        <f t="shared" si="12"/>
        <v>3026.4583074437687</v>
      </c>
      <c r="Z29" s="382">
        <f t="shared" si="13"/>
        <v>1</v>
      </c>
      <c r="AA29" s="383">
        <f>IFERROR(T29/$T$37, "")</f>
        <v>0</v>
      </c>
      <c r="AB29" s="428" t="s">
        <v>238</v>
      </c>
      <c r="AG29" s="429" t="s">
        <v>343</v>
      </c>
      <c r="AN29" s="518">
        <f>X29-AO29</f>
        <v>0</v>
      </c>
      <c r="AO29" s="519"/>
    </row>
    <row r="30" spans="1:42" ht="80.099999999999994" customHeight="1" x14ac:dyDescent="0.4">
      <c r="A30" s="430">
        <v>16</v>
      </c>
      <c r="B30" s="353" t="s">
        <v>161</v>
      </c>
      <c r="C30" s="431" t="s">
        <v>134</v>
      </c>
      <c r="D30" s="430" t="s">
        <v>157</v>
      </c>
      <c r="E30" s="430" t="s">
        <v>154</v>
      </c>
      <c r="F30" s="410" t="s">
        <v>166</v>
      </c>
      <c r="G30" s="387" t="s">
        <v>239</v>
      </c>
      <c r="H30" s="411">
        <v>1</v>
      </c>
      <c r="I30" s="411">
        <v>1</v>
      </c>
      <c r="J30" s="424">
        <v>4987.6499999999996</v>
      </c>
      <c r="K30" s="412">
        <f t="shared" si="3"/>
        <v>4987.6499999999996</v>
      </c>
      <c r="L30" s="412">
        <f t="shared" si="4"/>
        <v>374.07374999999996</v>
      </c>
      <c r="M30" s="412">
        <f t="shared" si="14"/>
        <v>1301.2857566484406</v>
      </c>
      <c r="N30" s="425">
        <f t="shared" si="5"/>
        <v>6663.00950664844</v>
      </c>
      <c r="O30" s="426"/>
      <c r="Q30" s="415">
        <f t="shared" si="6"/>
        <v>1</v>
      </c>
      <c r="R30" s="416">
        <v>0</v>
      </c>
      <c r="S30" s="417">
        <v>2000</v>
      </c>
      <c r="T30" s="427">
        <f t="shared" si="15"/>
        <v>0</v>
      </c>
      <c r="U30" s="418">
        <f t="shared" si="8"/>
        <v>4987.6499999999996</v>
      </c>
      <c r="V30" s="419">
        <f t="shared" si="9"/>
        <v>0</v>
      </c>
      <c r="W30" s="420">
        <f t="shared" si="10"/>
        <v>0</v>
      </c>
      <c r="X30" s="420">
        <f t="shared" si="11"/>
        <v>0</v>
      </c>
      <c r="Y30" s="402">
        <f t="shared" si="12"/>
        <v>1301.2857566484406</v>
      </c>
      <c r="Z30" s="382">
        <f t="shared" si="13"/>
        <v>1</v>
      </c>
      <c r="AA30" s="383">
        <f>IFERROR(T30/$T$37, "")</f>
        <v>0</v>
      </c>
      <c r="AG30" s="310" t="s">
        <v>343</v>
      </c>
      <c r="AN30" s="518">
        <f t="shared" si="2"/>
        <v>0</v>
      </c>
      <c r="AO30" s="519"/>
    </row>
    <row r="31" spans="1:42" ht="80.099999999999994" customHeight="1" x14ac:dyDescent="0.4">
      <c r="A31" s="432">
        <v>17</v>
      </c>
      <c r="B31" s="353" t="s">
        <v>162</v>
      </c>
      <c r="C31" s="433" t="s">
        <v>134</v>
      </c>
      <c r="D31" s="430" t="s">
        <v>157</v>
      </c>
      <c r="E31" s="430" t="s">
        <v>154</v>
      </c>
      <c r="F31" s="410" t="s">
        <v>240</v>
      </c>
      <c r="G31" s="434"/>
      <c r="H31" s="435">
        <v>4</v>
      </c>
      <c r="I31" s="435">
        <v>1</v>
      </c>
      <c r="J31" s="436">
        <v>1980</v>
      </c>
      <c r="K31" s="412">
        <f t="shared" si="3"/>
        <v>7920</v>
      </c>
      <c r="L31" s="412">
        <f t="shared" si="4"/>
        <v>594</v>
      </c>
      <c r="M31" s="412">
        <f t="shared" si="14"/>
        <v>2066.3404995650558</v>
      </c>
      <c r="N31" s="425">
        <f t="shared" si="5"/>
        <v>10580.340499565056</v>
      </c>
      <c r="O31" s="421"/>
      <c r="Q31" s="415">
        <v>1</v>
      </c>
      <c r="R31" s="416">
        <f t="shared" si="7"/>
        <v>1</v>
      </c>
      <c r="S31" s="437">
        <f>6109.98-S28</f>
        <v>4632.92</v>
      </c>
      <c r="T31" s="438">
        <v>0</v>
      </c>
      <c r="U31" s="418">
        <f t="shared" si="8"/>
        <v>7920</v>
      </c>
      <c r="V31" s="419">
        <f t="shared" si="9"/>
        <v>0</v>
      </c>
      <c r="W31" s="420">
        <f t="shared" si="10"/>
        <v>0</v>
      </c>
      <c r="X31" s="420">
        <f t="shared" si="11"/>
        <v>0</v>
      </c>
      <c r="Y31" s="402">
        <f t="shared" si="12"/>
        <v>2066.3404995650558</v>
      </c>
      <c r="Z31" s="382">
        <f t="shared" si="13"/>
        <v>1</v>
      </c>
      <c r="AA31" s="383"/>
      <c r="AG31" s="310" t="s">
        <v>344</v>
      </c>
      <c r="AN31" s="518"/>
      <c r="AO31" s="519"/>
    </row>
    <row r="32" spans="1:42" ht="80.099999999999994" customHeight="1" x14ac:dyDescent="0.4">
      <c r="A32" s="432">
        <v>18</v>
      </c>
      <c r="B32" s="353" t="s">
        <v>163</v>
      </c>
      <c r="C32" s="433" t="s">
        <v>134</v>
      </c>
      <c r="D32" s="430" t="s">
        <v>157</v>
      </c>
      <c r="E32" s="430" t="s">
        <v>154</v>
      </c>
      <c r="F32" s="410" t="s">
        <v>241</v>
      </c>
      <c r="G32" s="434"/>
      <c r="H32" s="435">
        <v>9</v>
      </c>
      <c r="I32" s="435">
        <v>1</v>
      </c>
      <c r="J32" s="439">
        <v>580</v>
      </c>
      <c r="K32" s="412">
        <f t="shared" si="3"/>
        <v>5220</v>
      </c>
      <c r="L32" s="412">
        <f t="shared" si="4"/>
        <v>391.5</v>
      </c>
      <c r="M32" s="412">
        <f t="shared" si="14"/>
        <v>1361.906238349696</v>
      </c>
      <c r="N32" s="425">
        <f t="shared" si="5"/>
        <v>6973.4062383496957</v>
      </c>
      <c r="O32" s="426"/>
      <c r="Q32" s="415">
        <f t="shared" si="6"/>
        <v>9</v>
      </c>
      <c r="R32" s="416">
        <f t="shared" si="7"/>
        <v>1</v>
      </c>
      <c r="S32" s="417">
        <v>0</v>
      </c>
      <c r="T32" s="417">
        <f t="shared" si="15"/>
        <v>0</v>
      </c>
      <c r="U32" s="418">
        <f t="shared" si="8"/>
        <v>5220</v>
      </c>
      <c r="V32" s="419">
        <f t="shared" si="9"/>
        <v>0</v>
      </c>
      <c r="W32" s="420">
        <f t="shared" si="10"/>
        <v>0</v>
      </c>
      <c r="X32" s="420">
        <f t="shared" si="11"/>
        <v>0</v>
      </c>
      <c r="Y32" s="402">
        <f t="shared" si="12"/>
        <v>1361.906238349696</v>
      </c>
      <c r="Z32" s="382">
        <f t="shared" si="13"/>
        <v>1</v>
      </c>
      <c r="AA32" s="383"/>
      <c r="AG32" s="310" t="s">
        <v>343</v>
      </c>
      <c r="AN32" s="518">
        <f t="shared" si="2"/>
        <v>0</v>
      </c>
      <c r="AO32" s="519"/>
    </row>
    <row r="33" spans="1:42" ht="80.099999999999994" customHeight="1" x14ac:dyDescent="0.4">
      <c r="A33" s="432">
        <v>19</v>
      </c>
      <c r="B33" s="353" t="s">
        <v>250</v>
      </c>
      <c r="C33" s="433" t="s">
        <v>134</v>
      </c>
      <c r="D33" s="430" t="s">
        <v>157</v>
      </c>
      <c r="E33" s="430" t="s">
        <v>154</v>
      </c>
      <c r="F33" s="410" t="s">
        <v>281</v>
      </c>
      <c r="G33" s="434" t="s">
        <v>243</v>
      </c>
      <c r="H33" s="435">
        <v>1</v>
      </c>
      <c r="I33" s="435">
        <v>1</v>
      </c>
      <c r="J33" s="439">
        <v>3800</v>
      </c>
      <c r="K33" s="412">
        <f t="shared" si="3"/>
        <v>3800</v>
      </c>
      <c r="L33" s="412">
        <f t="shared" si="4"/>
        <v>285</v>
      </c>
      <c r="M33" s="412">
        <f t="shared" si="14"/>
        <v>991.42599726606215</v>
      </c>
      <c r="N33" s="425">
        <f t="shared" si="5"/>
        <v>5076.425997266062</v>
      </c>
      <c r="O33" s="426"/>
      <c r="Q33" s="415">
        <f t="shared" si="6"/>
        <v>1</v>
      </c>
      <c r="R33" s="416">
        <f t="shared" si="7"/>
        <v>1</v>
      </c>
      <c r="S33" s="417">
        <v>2000</v>
      </c>
      <c r="T33" s="427">
        <v>0</v>
      </c>
      <c r="U33" s="418">
        <f t="shared" si="8"/>
        <v>3800</v>
      </c>
      <c r="V33" s="419">
        <f t="shared" si="9"/>
        <v>0</v>
      </c>
      <c r="W33" s="420">
        <f t="shared" si="10"/>
        <v>0</v>
      </c>
      <c r="X33" s="420">
        <f t="shared" si="11"/>
        <v>0</v>
      </c>
      <c r="Y33" s="402">
        <f t="shared" si="12"/>
        <v>991.42599726606215</v>
      </c>
      <c r="Z33" s="382">
        <f t="shared" si="13"/>
        <v>1</v>
      </c>
      <c r="AA33" s="383"/>
      <c r="AG33" s="310" t="s">
        <v>343</v>
      </c>
      <c r="AN33" s="518">
        <f t="shared" si="2"/>
        <v>0</v>
      </c>
      <c r="AO33" s="519"/>
    </row>
    <row r="34" spans="1:42" ht="80.099999999999994" customHeight="1" x14ac:dyDescent="0.4">
      <c r="A34" s="432">
        <v>20</v>
      </c>
      <c r="B34" s="353" t="s">
        <v>251</v>
      </c>
      <c r="C34" s="433" t="s">
        <v>134</v>
      </c>
      <c r="D34" s="430" t="s">
        <v>157</v>
      </c>
      <c r="E34" s="430" t="s">
        <v>154</v>
      </c>
      <c r="F34" s="410" t="s">
        <v>435</v>
      </c>
      <c r="G34" s="434" t="s">
        <v>242</v>
      </c>
      <c r="H34" s="435">
        <v>12</v>
      </c>
      <c r="I34" s="435">
        <v>0</v>
      </c>
      <c r="J34" s="439">
        <v>0</v>
      </c>
      <c r="K34" s="412">
        <f t="shared" si="3"/>
        <v>0</v>
      </c>
      <c r="L34" s="412">
        <f t="shared" si="4"/>
        <v>0</v>
      </c>
      <c r="M34" s="412">
        <f t="shared" si="14"/>
        <v>0</v>
      </c>
      <c r="N34" s="425">
        <f t="shared" si="5"/>
        <v>0</v>
      </c>
      <c r="O34" s="426"/>
      <c r="Q34" s="415">
        <f t="shared" si="6"/>
        <v>12</v>
      </c>
      <c r="R34" s="416">
        <f t="shared" si="7"/>
        <v>0</v>
      </c>
      <c r="S34" s="417">
        <v>0</v>
      </c>
      <c r="T34" s="417">
        <f t="shared" si="15"/>
        <v>0</v>
      </c>
      <c r="U34" s="418">
        <f t="shared" si="8"/>
        <v>0</v>
      </c>
      <c r="V34" s="419">
        <f t="shared" si="9"/>
        <v>0</v>
      </c>
      <c r="W34" s="420">
        <f t="shared" si="10"/>
        <v>0</v>
      </c>
      <c r="X34" s="420">
        <f t="shared" si="11"/>
        <v>0</v>
      </c>
      <c r="Y34" s="402">
        <f t="shared" si="12"/>
        <v>0</v>
      </c>
      <c r="Z34" s="382">
        <f t="shared" si="13"/>
        <v>0</v>
      </c>
      <c r="AA34" s="383"/>
      <c r="AG34" s="310" t="s">
        <v>345</v>
      </c>
      <c r="AN34" s="518">
        <f t="shared" si="2"/>
        <v>0</v>
      </c>
      <c r="AO34" s="519"/>
    </row>
    <row r="35" spans="1:42" ht="80.099999999999994" customHeight="1" x14ac:dyDescent="0.4">
      <c r="A35" s="432">
        <v>21</v>
      </c>
      <c r="B35" s="353" t="s">
        <v>252</v>
      </c>
      <c r="C35" s="433" t="s">
        <v>134</v>
      </c>
      <c r="D35" s="430" t="s">
        <v>157</v>
      </c>
      <c r="E35" s="430" t="s">
        <v>154</v>
      </c>
      <c r="F35" s="410" t="s">
        <v>244</v>
      </c>
      <c r="G35" s="434" t="s">
        <v>282</v>
      </c>
      <c r="H35" s="435">
        <v>20</v>
      </c>
      <c r="I35" s="435">
        <v>1</v>
      </c>
      <c r="J35" s="439">
        <v>95</v>
      </c>
      <c r="K35" s="412">
        <f t="shared" si="3"/>
        <v>1900</v>
      </c>
      <c r="L35" s="412">
        <f t="shared" si="4"/>
        <v>142.5</v>
      </c>
      <c r="M35" s="412">
        <f t="shared" si="14"/>
        <v>495.71299863303108</v>
      </c>
      <c r="N35" s="425">
        <f t="shared" si="5"/>
        <v>2538.212998633031</v>
      </c>
      <c r="O35" s="426"/>
      <c r="Q35" s="415">
        <f t="shared" si="6"/>
        <v>20</v>
      </c>
      <c r="R35" s="416">
        <v>0</v>
      </c>
      <c r="S35" s="417">
        <v>70</v>
      </c>
      <c r="T35" s="427">
        <f t="shared" si="15"/>
        <v>0</v>
      </c>
      <c r="U35" s="418">
        <f t="shared" si="8"/>
        <v>1900</v>
      </c>
      <c r="V35" s="419">
        <f t="shared" si="9"/>
        <v>0</v>
      </c>
      <c r="W35" s="420">
        <f t="shared" si="10"/>
        <v>0</v>
      </c>
      <c r="X35" s="420">
        <f t="shared" si="11"/>
        <v>0</v>
      </c>
      <c r="Y35" s="402">
        <f t="shared" si="12"/>
        <v>495.71299863303108</v>
      </c>
      <c r="Z35" s="382">
        <f t="shared" si="13"/>
        <v>1</v>
      </c>
      <c r="AA35" s="383"/>
      <c r="AG35" s="310" t="s">
        <v>343</v>
      </c>
      <c r="AN35" s="518">
        <f t="shared" si="2"/>
        <v>0</v>
      </c>
      <c r="AO35" s="519"/>
    </row>
    <row r="36" spans="1:42" ht="80.099999999999994" customHeight="1" x14ac:dyDescent="0.4">
      <c r="A36" s="430">
        <v>22</v>
      </c>
      <c r="B36" s="353" t="s">
        <v>253</v>
      </c>
      <c r="C36" s="431" t="s">
        <v>134</v>
      </c>
      <c r="D36" s="430" t="s">
        <v>157</v>
      </c>
      <c r="E36" s="430" t="s">
        <v>154</v>
      </c>
      <c r="F36" s="440" t="s">
        <v>221</v>
      </c>
      <c r="G36" s="434" t="s">
        <v>432</v>
      </c>
      <c r="H36" s="435">
        <v>15</v>
      </c>
      <c r="I36" s="435">
        <v>1</v>
      </c>
      <c r="J36" s="441">
        <v>700</v>
      </c>
      <c r="K36" s="442">
        <f t="shared" si="3"/>
        <v>10500</v>
      </c>
      <c r="L36" s="442">
        <f t="shared" si="4"/>
        <v>787.5</v>
      </c>
      <c r="M36" s="442">
        <f t="shared" si="14"/>
        <v>2739.4665713930667</v>
      </c>
      <c r="N36" s="443">
        <f t="shared" si="5"/>
        <v>14026.966571393066</v>
      </c>
      <c r="O36" s="421"/>
      <c r="Q36" s="415">
        <f t="shared" si="6"/>
        <v>15</v>
      </c>
      <c r="R36" s="444">
        <f t="shared" si="7"/>
        <v>1</v>
      </c>
      <c r="S36" s="417">
        <v>520</v>
      </c>
      <c r="T36" s="445">
        <f>IF(Q36&lt;&gt;"",Q36*R36*S36,"")+450</f>
        <v>8250</v>
      </c>
      <c r="U36" s="418">
        <f t="shared" si="8"/>
        <v>2250</v>
      </c>
      <c r="V36" s="419">
        <f t="shared" si="9"/>
        <v>0</v>
      </c>
      <c r="W36" s="420">
        <f t="shared" si="10"/>
        <v>0</v>
      </c>
      <c r="X36" s="420">
        <f t="shared" si="11"/>
        <v>8250</v>
      </c>
      <c r="Y36" s="402">
        <f t="shared" si="12"/>
        <v>10989.466571393066</v>
      </c>
      <c r="Z36" s="382">
        <f t="shared" si="13"/>
        <v>0.21428571428571427</v>
      </c>
      <c r="AA36" s="383">
        <f>IFERROR(T36/$T$37, "")</f>
        <v>0.57451333497678969</v>
      </c>
      <c r="AG36" s="310" t="s">
        <v>344</v>
      </c>
      <c r="AN36" s="518">
        <f t="shared" si="2"/>
        <v>0</v>
      </c>
      <c r="AO36" s="519">
        <v>8250</v>
      </c>
      <c r="AP36" s="310" t="s">
        <v>497</v>
      </c>
    </row>
    <row r="37" spans="1:42" ht="35.1" customHeight="1" thickBot="1" x14ac:dyDescent="0.5">
      <c r="A37" s="334">
        <v>23</v>
      </c>
      <c r="B37" s="353"/>
      <c r="C37" s="354" t="s">
        <v>142</v>
      </c>
      <c r="D37" s="334"/>
      <c r="E37" s="334"/>
      <c r="F37" s="643" t="s">
        <v>143</v>
      </c>
      <c r="G37" s="644"/>
      <c r="H37" s="644"/>
      <c r="I37" s="644"/>
      <c r="J37" s="644"/>
      <c r="K37" s="446">
        <f>SUM(K28:K36)</f>
        <v>55127.65</v>
      </c>
      <c r="L37" s="447">
        <f>SUM(L28:L36)</f>
        <v>4134.5737499999996</v>
      </c>
      <c r="M37" s="447">
        <f>SUM(M28:M36)</f>
        <v>14382.890888995904</v>
      </c>
      <c r="N37" s="448">
        <f>SUM(N28:N36)</f>
        <v>73645.114638995903</v>
      </c>
      <c r="O37" s="426"/>
      <c r="Q37" s="643" t="s">
        <v>143</v>
      </c>
      <c r="R37" s="644"/>
      <c r="S37" s="644"/>
      <c r="T37" s="405">
        <f>SUM(T28:T36)</f>
        <v>14359.98</v>
      </c>
      <c r="U37" s="406">
        <f>SUM(U28:U36)</f>
        <v>40767.67</v>
      </c>
      <c r="V37" s="407"/>
      <c r="W37" s="407"/>
      <c r="X37" s="408">
        <f>SUM(X28:X36)</f>
        <v>14359.98</v>
      </c>
      <c r="Y37" s="409">
        <f t="shared" si="12"/>
        <v>28742.870888995902</v>
      </c>
      <c r="AN37" s="518"/>
      <c r="AO37" s="519"/>
    </row>
    <row r="38" spans="1:42" ht="35.1" customHeight="1" thickBot="1" x14ac:dyDescent="0.5">
      <c r="A38" s="334">
        <v>24</v>
      </c>
      <c r="B38" s="353">
        <v>4</v>
      </c>
      <c r="C38" s="354" t="s">
        <v>128</v>
      </c>
      <c r="D38" s="334"/>
      <c r="E38" s="334"/>
      <c r="F38" s="637" t="s">
        <v>168</v>
      </c>
      <c r="G38" s="638"/>
      <c r="H38" s="638"/>
      <c r="I38" s="638"/>
      <c r="J38" s="638"/>
      <c r="K38" s="638"/>
      <c r="L38" s="638"/>
      <c r="M38" s="638"/>
      <c r="N38" s="639"/>
      <c r="O38" s="426"/>
      <c r="Q38" s="640" t="str">
        <f>IF(F38&lt;&gt;"",F38,"")</f>
        <v>Buffet</v>
      </c>
      <c r="R38" s="641"/>
      <c r="S38" s="641"/>
      <c r="T38" s="641"/>
      <c r="U38" s="641"/>
      <c r="V38" s="641"/>
      <c r="W38" s="641"/>
      <c r="X38" s="641"/>
      <c r="Y38" s="642"/>
      <c r="AN38" s="518"/>
      <c r="AO38" s="519"/>
    </row>
    <row r="39" spans="1:42" ht="35.1" customHeight="1" x14ac:dyDescent="0.45">
      <c r="A39" s="334">
        <v>25</v>
      </c>
      <c r="B39" s="353" t="s">
        <v>175</v>
      </c>
      <c r="C39" s="354" t="s">
        <v>129</v>
      </c>
      <c r="D39" s="334"/>
      <c r="E39" s="334"/>
      <c r="F39" s="633" t="s">
        <v>276</v>
      </c>
      <c r="G39" s="634"/>
      <c r="H39" s="634"/>
      <c r="I39" s="634"/>
      <c r="J39" s="634"/>
      <c r="K39" s="635"/>
      <c r="L39" s="356" t="s">
        <v>131</v>
      </c>
      <c r="M39" s="357" t="s">
        <v>132</v>
      </c>
      <c r="N39" s="358" t="s">
        <v>74</v>
      </c>
      <c r="O39" s="426"/>
      <c r="Q39" s="633" t="str">
        <f>IF(F39&lt;&gt;"",F39,"")</f>
        <v>Alimentos &amp; Bebidas - Luiza</v>
      </c>
      <c r="R39" s="634"/>
      <c r="S39" s="634"/>
      <c r="T39" s="634"/>
      <c r="U39" s="634"/>
      <c r="V39" s="634"/>
      <c r="W39" s="634"/>
      <c r="X39" s="634"/>
      <c r="Y39" s="636"/>
      <c r="Z39" s="359" t="s">
        <v>133</v>
      </c>
      <c r="AA39" s="360" t="s">
        <v>75</v>
      </c>
      <c r="AN39" s="518"/>
      <c r="AO39" s="519"/>
    </row>
    <row r="40" spans="1:42" ht="80.099999999999994" customHeight="1" x14ac:dyDescent="0.4">
      <c r="A40" s="334">
        <v>26</v>
      </c>
      <c r="B40" s="353" t="s">
        <v>176</v>
      </c>
      <c r="C40" s="354" t="s">
        <v>134</v>
      </c>
      <c r="D40" s="334" t="s">
        <v>157</v>
      </c>
      <c r="E40" s="334" t="s">
        <v>154</v>
      </c>
      <c r="F40" s="449" t="s">
        <v>229</v>
      </c>
      <c r="G40" s="387" t="s">
        <v>170</v>
      </c>
      <c r="H40" s="450">
        <v>400</v>
      </c>
      <c r="I40" s="450">
        <v>4</v>
      </c>
      <c r="J40" s="393">
        <v>76.834999999999994</v>
      </c>
      <c r="K40" s="372">
        <f>IF(F40&lt;&gt;"",H40*I40*J40,"")</f>
        <v>122935.99999999999</v>
      </c>
      <c r="L40" s="372">
        <f>IF(K40&lt;&gt;"",IF(D40="INTERNO",0,K40*$L$14),"")</f>
        <v>9220.1999999999989</v>
      </c>
      <c r="M40" s="372">
        <f>IF(K40&lt;&gt;"",IF(E40="FAT.OGGI",SUM(K40:L40)*(1/(1-$M$14)-1),L40*(1/(1-$M$14)-1)),0)</f>
        <v>32074.196421026474</v>
      </c>
      <c r="N40" s="373">
        <f>SUM(K40:M40)</f>
        <v>164230.39642102647</v>
      </c>
      <c r="O40" s="451"/>
      <c r="Q40" s="374">
        <f t="shared" ref="Q40:R43" si="16">IF(H40&lt;&gt;"",H40,"")</f>
        <v>400</v>
      </c>
      <c r="R40" s="375">
        <f t="shared" si="16"/>
        <v>4</v>
      </c>
      <c r="S40" s="376">
        <v>67.890309999999999</v>
      </c>
      <c r="T40" s="452">
        <v>188446.07999999999</v>
      </c>
      <c r="U40" s="378">
        <f>IF(Q40&lt;&gt;"",K40-T40,"")</f>
        <v>-65510.080000000002</v>
      </c>
      <c r="V40" s="379">
        <f>IF(Q40&lt;&gt;"",0%,"")</f>
        <v>0</v>
      </c>
      <c r="W40" s="380">
        <f>IF(Q40&lt;&gt;"",V40*U40,"")</f>
        <v>0</v>
      </c>
      <c r="X40" s="380">
        <f>IF(Q40&lt;&gt;"",W40+T40,"")</f>
        <v>188446.07999999999</v>
      </c>
      <c r="Y40" s="381">
        <f t="shared" ref="Y40:Y44" si="17">IF(Q40&lt;&gt;"",X40+M40,"")</f>
        <v>220520.27642102647</v>
      </c>
      <c r="Z40" s="382">
        <f>IF(Q40&lt;&gt;"", IFERROR(U40/K40, 0), 0)</f>
        <v>-0.53287954708140828</v>
      </c>
      <c r="AA40" s="383">
        <f>IFERROR(T40/$T$44, "")</f>
        <v>1</v>
      </c>
      <c r="AG40" s="310" t="s">
        <v>344</v>
      </c>
      <c r="AN40" s="518">
        <f>X40-AO40</f>
        <v>0</v>
      </c>
      <c r="AO40" s="519">
        <f>21883.12+26468.48+26469.48+56812+56813</f>
        <v>188446.08000000002</v>
      </c>
      <c r="AP40" s="310" t="s">
        <v>488</v>
      </c>
    </row>
    <row r="41" spans="1:42" ht="80.099999999999994" customHeight="1" x14ac:dyDescent="0.4">
      <c r="A41" s="334">
        <v>27</v>
      </c>
      <c r="B41" s="353" t="s">
        <v>177</v>
      </c>
      <c r="C41" s="354" t="s">
        <v>134</v>
      </c>
      <c r="D41" s="334" t="s">
        <v>157</v>
      </c>
      <c r="E41" s="334" t="s">
        <v>154</v>
      </c>
      <c r="F41" s="449" t="s">
        <v>171</v>
      </c>
      <c r="G41" s="387" t="s">
        <v>172</v>
      </c>
      <c r="H41" s="411">
        <v>2</v>
      </c>
      <c r="I41" s="450">
        <v>1</v>
      </c>
      <c r="J41" s="393">
        <v>2750</v>
      </c>
      <c r="K41" s="372">
        <f>IF(F41&lt;&gt;"",H41*I41*J41,"")</f>
        <v>5500</v>
      </c>
      <c r="L41" s="372">
        <f>IF(K41&lt;&gt;"",IF(D41="INTERNO",0,K41*$L$14),"")</f>
        <v>412.5</v>
      </c>
      <c r="M41" s="372">
        <f>IF(K41&lt;&gt;"",IF(E41="FAT.OGGI",SUM(K41:L41)*(1/(1-$M$14)-1),L41*(1/(1-$M$14)-1)),0)</f>
        <v>1434.9586802535111</v>
      </c>
      <c r="N41" s="373">
        <f>SUM(K41:M41)</f>
        <v>7347.4586802535114</v>
      </c>
      <c r="O41" s="451"/>
      <c r="Q41" s="374">
        <v>2</v>
      </c>
      <c r="R41" s="375">
        <f t="shared" si="16"/>
        <v>1</v>
      </c>
      <c r="S41" s="376">
        <v>2500</v>
      </c>
      <c r="T41" s="452">
        <v>0</v>
      </c>
      <c r="U41" s="378">
        <f>IF(Q41&lt;&gt;"",K41-T41,"")</f>
        <v>5500</v>
      </c>
      <c r="V41" s="379">
        <f>IF(Q41&lt;&gt;"",0%,"")</f>
        <v>0</v>
      </c>
      <c r="W41" s="380">
        <f>IF(Q41&lt;&gt;"",V41*U41,"")</f>
        <v>0</v>
      </c>
      <c r="X41" s="380">
        <f>IF(Q41&lt;&gt;"",W41+T41,"")</f>
        <v>0</v>
      </c>
      <c r="Y41" s="381">
        <f t="shared" si="17"/>
        <v>1434.9586802535111</v>
      </c>
      <c r="Z41" s="382">
        <f>IF(Q41&lt;&gt;"", IFERROR(U41/K41, 0), 0)</f>
        <v>1</v>
      </c>
      <c r="AA41" s="383">
        <f>IFERROR(T41/$T$44, "")</f>
        <v>0</v>
      </c>
      <c r="AG41" s="310" t="s">
        <v>344</v>
      </c>
      <c r="AN41" s="518"/>
      <c r="AO41" s="519"/>
    </row>
    <row r="42" spans="1:42" ht="80.099999999999994" customHeight="1" x14ac:dyDescent="0.4">
      <c r="A42" s="334">
        <v>28</v>
      </c>
      <c r="B42" s="353" t="s">
        <v>178</v>
      </c>
      <c r="C42" s="354" t="s">
        <v>134</v>
      </c>
      <c r="D42" s="334" t="s">
        <v>157</v>
      </c>
      <c r="E42" s="334" t="s">
        <v>154</v>
      </c>
      <c r="F42" s="449" t="s">
        <v>173</v>
      </c>
      <c r="G42" s="387" t="s">
        <v>433</v>
      </c>
      <c r="H42" s="450">
        <v>1</v>
      </c>
      <c r="I42" s="450">
        <v>28</v>
      </c>
      <c r="J42" s="393">
        <v>242</v>
      </c>
      <c r="K42" s="372">
        <f>IF(F42&lt;&gt;"",H42*I42*J42,"")</f>
        <v>6776</v>
      </c>
      <c r="L42" s="372">
        <f>IF(K42&lt;&gt;"",IF(D42="INTERNO",0,K42*$L$14),"")</f>
        <v>508.2</v>
      </c>
      <c r="M42" s="372">
        <f>IF(K42&lt;&gt;"",IF(E42="FAT.OGGI",SUM(K42:L42)*(1/(1-$M$14)-1),L42*(1/(1-$M$14)-1)),0)</f>
        <v>1767.8690940723257</v>
      </c>
      <c r="N42" s="373">
        <f>SUM(K42:M42)</f>
        <v>9052.0690940723252</v>
      </c>
      <c r="O42" s="451"/>
      <c r="Q42" s="374">
        <f t="shared" si="16"/>
        <v>1</v>
      </c>
      <c r="R42" s="375">
        <f t="shared" si="16"/>
        <v>28</v>
      </c>
      <c r="S42" s="376">
        <v>220</v>
      </c>
      <c r="T42" s="453">
        <v>0</v>
      </c>
      <c r="U42" s="378">
        <f>IF(Q42&lt;&gt;"",K42-T42,"")</f>
        <v>6776</v>
      </c>
      <c r="V42" s="379">
        <f>IF(Q42&lt;&gt;"",0%,"")</f>
        <v>0</v>
      </c>
      <c r="W42" s="380">
        <f>IF(Q42&lt;&gt;"",V42*U42,"")</f>
        <v>0</v>
      </c>
      <c r="X42" s="380">
        <f>IF(Q42&lt;&gt;"",W42+T42,"")</f>
        <v>0</v>
      </c>
      <c r="Y42" s="381">
        <f t="shared" si="17"/>
        <v>1767.8690940723257</v>
      </c>
      <c r="Z42" s="382">
        <f>IF(Q42&lt;&gt;"", IFERROR(U42/K42, 0), 0)</f>
        <v>1</v>
      </c>
      <c r="AA42" s="383">
        <f>IFERROR(T42/$T$44, "")</f>
        <v>0</v>
      </c>
      <c r="AG42" s="310" t="s">
        <v>344</v>
      </c>
      <c r="AN42" s="518"/>
      <c r="AO42" s="519"/>
    </row>
    <row r="43" spans="1:42" ht="80.099999999999994" customHeight="1" x14ac:dyDescent="0.4">
      <c r="A43" s="334">
        <v>29</v>
      </c>
      <c r="B43" s="353" t="s">
        <v>179</v>
      </c>
      <c r="C43" s="354" t="s">
        <v>134</v>
      </c>
      <c r="D43" s="334" t="s">
        <v>157</v>
      </c>
      <c r="E43" s="334" t="s">
        <v>154</v>
      </c>
      <c r="F43" s="449" t="s">
        <v>174</v>
      </c>
      <c r="G43" s="387" t="s">
        <v>377</v>
      </c>
      <c r="H43" s="454">
        <v>62</v>
      </c>
      <c r="I43" s="450">
        <v>1</v>
      </c>
      <c r="J43" s="393">
        <v>35.200000000000003</v>
      </c>
      <c r="K43" s="372">
        <f>IF(F43&lt;&gt;"",H43*I43*J43,"")</f>
        <v>2182.4</v>
      </c>
      <c r="L43" s="372">
        <f>IF(K43&lt;&gt;"",IF(D43="INTERNO",0,K43*$L$14),"")</f>
        <v>163.68</v>
      </c>
      <c r="M43" s="372">
        <f>IF(K43&lt;&gt;"",IF(E43="FAT.OGGI",SUM(K43:L43)*(1/(1-$M$14)-1),L43*(1/(1-$M$14)-1)),0)</f>
        <v>569.39160432459323</v>
      </c>
      <c r="N43" s="373">
        <f>SUM(K43:M43)</f>
        <v>2915.471604324593</v>
      </c>
      <c r="O43" s="451"/>
      <c r="Q43" s="395">
        <v>62</v>
      </c>
      <c r="R43" s="396">
        <f t="shared" si="16"/>
        <v>1</v>
      </c>
      <c r="S43" s="397">
        <v>32</v>
      </c>
      <c r="T43" s="455">
        <v>0</v>
      </c>
      <c r="U43" s="399">
        <f>IF(Q43&lt;&gt;"",K43-T43,"")</f>
        <v>2182.4</v>
      </c>
      <c r="V43" s="400">
        <f>IF(Q43&lt;&gt;"",0%,"")</f>
        <v>0</v>
      </c>
      <c r="W43" s="401">
        <f>IF(Q43&lt;&gt;"",V43*U43,"")</f>
        <v>0</v>
      </c>
      <c r="X43" s="401">
        <f>IF(Q43&lt;&gt;"",W43+T43,"")</f>
        <v>0</v>
      </c>
      <c r="Y43" s="402">
        <f t="shared" si="17"/>
        <v>569.39160432459323</v>
      </c>
      <c r="Z43" s="382">
        <f>IF(Q43&lt;&gt;"", IFERROR(U43/K43, 0), 0)</f>
        <v>1</v>
      </c>
      <c r="AA43" s="383">
        <f>IFERROR(T43/$T$44, "")</f>
        <v>0</v>
      </c>
      <c r="AG43" s="310" t="s">
        <v>344</v>
      </c>
      <c r="AN43" s="518"/>
      <c r="AO43" s="519"/>
    </row>
    <row r="44" spans="1:42" ht="35.1" customHeight="1" thickBot="1" x14ac:dyDescent="0.5">
      <c r="A44" s="334">
        <v>30</v>
      </c>
      <c r="B44" s="353"/>
      <c r="C44" s="354" t="s">
        <v>142</v>
      </c>
      <c r="D44" s="334"/>
      <c r="E44" s="334"/>
      <c r="F44" s="643" t="s">
        <v>169</v>
      </c>
      <c r="G44" s="644"/>
      <c r="H44" s="644"/>
      <c r="I44" s="644"/>
      <c r="J44" s="644"/>
      <c r="K44" s="446">
        <f>SUM(K40:K43)</f>
        <v>137394.4</v>
      </c>
      <c r="L44" s="447">
        <f>SUM(L40:L43)</f>
        <v>10304.58</v>
      </c>
      <c r="M44" s="447">
        <f>SUM(M40:M43)</f>
        <v>35846.415799676899</v>
      </c>
      <c r="N44" s="448">
        <f>SUM(N40:N43)</f>
        <v>183545.39579967689</v>
      </c>
      <c r="O44" s="426"/>
      <c r="Q44" s="645" t="s">
        <v>169</v>
      </c>
      <c r="R44" s="646"/>
      <c r="S44" s="646"/>
      <c r="T44" s="405">
        <f>SUM(T40:T43)</f>
        <v>188446.07999999999</v>
      </c>
      <c r="U44" s="406">
        <f>SUM(U40:U43)</f>
        <v>-51051.68</v>
      </c>
      <c r="V44" s="407"/>
      <c r="W44" s="407"/>
      <c r="X44" s="408">
        <f>SUM(X40:X43)</f>
        <v>188446.07999999999</v>
      </c>
      <c r="Y44" s="409">
        <f t="shared" si="17"/>
        <v>224292.49579967689</v>
      </c>
      <c r="AN44" s="518"/>
      <c r="AO44" s="519"/>
    </row>
    <row r="45" spans="1:42" ht="35.1" customHeight="1" thickBot="1" x14ac:dyDescent="0.5">
      <c r="A45" s="432">
        <v>31</v>
      </c>
      <c r="B45" s="353">
        <v>5</v>
      </c>
      <c r="C45" s="433" t="s">
        <v>128</v>
      </c>
      <c r="D45" s="432"/>
      <c r="E45" s="432"/>
      <c r="F45" s="637" t="s">
        <v>181</v>
      </c>
      <c r="G45" s="638"/>
      <c r="H45" s="638"/>
      <c r="I45" s="638"/>
      <c r="J45" s="638"/>
      <c r="K45" s="638"/>
      <c r="L45" s="638"/>
      <c r="M45" s="638"/>
      <c r="N45" s="639"/>
      <c r="O45" s="426"/>
      <c r="Q45" s="640" t="str">
        <f>IF(F45&lt;&gt;"",F45,"")</f>
        <v>Serviços</v>
      </c>
      <c r="R45" s="641"/>
      <c r="S45" s="641"/>
      <c r="T45" s="641"/>
      <c r="U45" s="641"/>
      <c r="V45" s="641"/>
      <c r="W45" s="641"/>
      <c r="X45" s="641"/>
      <c r="Y45" s="642"/>
      <c r="AN45" s="518"/>
      <c r="AO45" s="519"/>
    </row>
    <row r="46" spans="1:42" ht="35.1" customHeight="1" x14ac:dyDescent="0.45">
      <c r="A46" s="430">
        <v>32</v>
      </c>
      <c r="B46" s="353" t="s">
        <v>187</v>
      </c>
      <c r="C46" s="431" t="s">
        <v>129</v>
      </c>
      <c r="D46" s="430"/>
      <c r="E46" s="430"/>
      <c r="F46" s="633" t="s">
        <v>277</v>
      </c>
      <c r="G46" s="634"/>
      <c r="H46" s="634"/>
      <c r="I46" s="634"/>
      <c r="J46" s="634"/>
      <c r="K46" s="635"/>
      <c r="L46" s="356" t="s">
        <v>131</v>
      </c>
      <c r="M46" s="357" t="s">
        <v>132</v>
      </c>
      <c r="N46" s="358" t="s">
        <v>74</v>
      </c>
      <c r="O46" s="426"/>
      <c r="Q46" s="633" t="str">
        <f>IF(F46&lt;&gt;"",F46,"")</f>
        <v>Equipe de serviços - Carol</v>
      </c>
      <c r="R46" s="634"/>
      <c r="S46" s="634"/>
      <c r="T46" s="634"/>
      <c r="U46" s="634"/>
      <c r="V46" s="634"/>
      <c r="W46" s="634"/>
      <c r="X46" s="634"/>
      <c r="Y46" s="636"/>
      <c r="Z46" s="359" t="s">
        <v>133</v>
      </c>
      <c r="AA46" s="360" t="s">
        <v>75</v>
      </c>
      <c r="AN46" s="518"/>
      <c r="AO46" s="519"/>
    </row>
    <row r="47" spans="1:42" ht="80.099999999999994" customHeight="1" x14ac:dyDescent="0.4">
      <c r="A47" s="430">
        <v>33</v>
      </c>
      <c r="B47" s="353" t="s">
        <v>188</v>
      </c>
      <c r="C47" s="431" t="s">
        <v>134</v>
      </c>
      <c r="D47" s="334" t="s">
        <v>157</v>
      </c>
      <c r="E47" s="430" t="s">
        <v>154</v>
      </c>
      <c r="F47" s="456" t="s">
        <v>182</v>
      </c>
      <c r="G47" s="457" t="s">
        <v>216</v>
      </c>
      <c r="H47" s="411">
        <v>9</v>
      </c>
      <c r="I47" s="411">
        <v>4</v>
      </c>
      <c r="J47" s="393">
        <v>680.27</v>
      </c>
      <c r="K47" s="458">
        <f>IF(F47&lt;&gt;"",H47*I47*J47,"")</f>
        <v>24489.72</v>
      </c>
      <c r="L47" s="458">
        <f>IF(K47&lt;&gt;"",IF(D47="INTERNO",0,K47*$L$14),"")</f>
        <v>1836.729</v>
      </c>
      <c r="M47" s="458">
        <f>IF(K47&lt;&gt;"",IF(E47="FAT.OGGI",SUM(K47:L47)*(1/(1-$M$14)-1),L47*(1/(1-$M$14)-1)),0)</f>
        <v>6389.4065983596392</v>
      </c>
      <c r="N47" s="459">
        <f>SUM(K47:M47)</f>
        <v>32715.855598359638</v>
      </c>
      <c r="O47" s="451"/>
      <c r="Q47" s="460">
        <f>IF(H47&lt;&gt;"",H47,"")</f>
        <v>9</v>
      </c>
      <c r="R47" s="461">
        <f>IF(I47&lt;&gt;"",I47,"")</f>
        <v>4</v>
      </c>
      <c r="S47" s="462">
        <v>618.42916660000003</v>
      </c>
      <c r="T47" s="463">
        <v>0</v>
      </c>
      <c r="U47" s="464">
        <f>IF(Q47&lt;&gt;"",K47-T47,"")</f>
        <v>24489.72</v>
      </c>
      <c r="V47" s="465">
        <f>IF(Q47&lt;&gt;"",0%,"")</f>
        <v>0</v>
      </c>
      <c r="W47" s="466">
        <f>IF(Q47&lt;&gt;"",V47*U47,"")</f>
        <v>0</v>
      </c>
      <c r="X47" s="466">
        <f>IF(Q47&lt;&gt;"",W47+T47,"")</f>
        <v>0</v>
      </c>
      <c r="Y47" s="467">
        <f>IF(Q47&lt;&gt;"",X47+M47,"")</f>
        <v>6389.4065983596392</v>
      </c>
      <c r="Z47" s="382">
        <f>IF(Q47&lt;&gt;"", IFERROR(U47/K47, 0), 0)</f>
        <v>1</v>
      </c>
      <c r="AA47" s="383">
        <f t="shared" ref="AA47:AA60" si="18">IFERROR(T47/$T$61, "")</f>
        <v>0</v>
      </c>
      <c r="AG47" s="310" t="s">
        <v>344</v>
      </c>
      <c r="AN47" s="518">
        <f t="shared" si="2"/>
        <v>0</v>
      </c>
      <c r="AO47" s="519"/>
    </row>
    <row r="48" spans="1:42" ht="80.099999999999994" customHeight="1" x14ac:dyDescent="0.4">
      <c r="A48" s="334">
        <v>34</v>
      </c>
      <c r="B48" s="353" t="s">
        <v>189</v>
      </c>
      <c r="C48" s="354" t="s">
        <v>134</v>
      </c>
      <c r="D48" s="334" t="s">
        <v>157</v>
      </c>
      <c r="E48" s="334" t="s">
        <v>154</v>
      </c>
      <c r="F48" s="468" t="s">
        <v>180</v>
      </c>
      <c r="G48" s="457" t="s">
        <v>217</v>
      </c>
      <c r="H48" s="411">
        <v>7</v>
      </c>
      <c r="I48" s="411">
        <v>4</v>
      </c>
      <c r="J48" s="393">
        <v>612.24</v>
      </c>
      <c r="K48" s="372">
        <f t="shared" ref="K48:K59" si="19">IF(F48&lt;&gt;"",H48*I48*J48,"")</f>
        <v>17142.72</v>
      </c>
      <c r="L48" s="372">
        <f t="shared" ref="L48:L60" si="20">IF(K48&lt;&gt;"",IF(D48="INTERNO",0,K48*$L$14),"")</f>
        <v>1285.704</v>
      </c>
      <c r="M48" s="372">
        <f t="shared" ref="M48:M60" si="21">IF(K48&lt;&gt;"",IF(E48="FAT.OGGI",SUM(K48:L48)*(1/(1-$M$14)-1),L48*(1/(1-$M$14)-1)),0)</f>
        <v>4472.5627031191771</v>
      </c>
      <c r="N48" s="373">
        <f t="shared" ref="N48:N59" si="22">SUM(K48:M48)</f>
        <v>22900.986703119179</v>
      </c>
      <c r="O48" s="451"/>
      <c r="Q48" s="374">
        <f t="shared" ref="Q48:R59" si="23">IF(H48&lt;&gt;"",H48,"")</f>
        <v>7</v>
      </c>
      <c r="R48" s="375">
        <f t="shared" si="23"/>
        <v>4</v>
      </c>
      <c r="S48" s="376">
        <v>556.58624999999995</v>
      </c>
      <c r="T48" s="452">
        <v>0</v>
      </c>
      <c r="U48" s="378">
        <f t="shared" ref="U48:U59" si="24">IF(Q48&lt;&gt;"",K48-T48,"")</f>
        <v>17142.72</v>
      </c>
      <c r="V48" s="379">
        <f t="shared" ref="V48:V59" si="25">IF(Q48&lt;&gt;"",0%,"")</f>
        <v>0</v>
      </c>
      <c r="W48" s="380">
        <f t="shared" ref="W48:W59" si="26">IF(Q48&lt;&gt;"",V48*U48,"")</f>
        <v>0</v>
      </c>
      <c r="X48" s="380">
        <f t="shared" ref="X48:X59" si="27">IF(Q48&lt;&gt;"",W48+T48,"")</f>
        <v>0</v>
      </c>
      <c r="Y48" s="381">
        <f t="shared" ref="Y48:Y59" si="28">IF(Q48&lt;&gt;"",X48+M48,"")</f>
        <v>4472.5627031191771</v>
      </c>
      <c r="Z48" s="382">
        <f t="shared" ref="Z48:Z59" si="29">IF(Q48&lt;&gt;"", IFERROR(U48/K48, 0), 0)</f>
        <v>1</v>
      </c>
      <c r="AA48" s="383">
        <f t="shared" si="18"/>
        <v>0</v>
      </c>
      <c r="AG48" s="310" t="s">
        <v>344</v>
      </c>
      <c r="AN48" s="518">
        <f t="shared" si="2"/>
        <v>0</v>
      </c>
      <c r="AO48" s="519"/>
    </row>
    <row r="49" spans="1:42" ht="80.099999999999994" customHeight="1" x14ac:dyDescent="0.4">
      <c r="A49" s="334">
        <v>35</v>
      </c>
      <c r="B49" s="353" t="s">
        <v>190</v>
      </c>
      <c r="C49" s="354" t="s">
        <v>134</v>
      </c>
      <c r="D49" s="334" t="s">
        <v>157</v>
      </c>
      <c r="E49" s="334" t="s">
        <v>154</v>
      </c>
      <c r="F49" s="468" t="s">
        <v>270</v>
      </c>
      <c r="G49" s="457" t="s">
        <v>227</v>
      </c>
      <c r="H49" s="411">
        <v>1</v>
      </c>
      <c r="I49" s="411">
        <v>4</v>
      </c>
      <c r="J49" s="393">
        <v>1088.43</v>
      </c>
      <c r="K49" s="372">
        <f t="shared" ref="K49" si="30">IF(F49&lt;&gt;"",H49*I49*J49,"")</f>
        <v>4353.72</v>
      </c>
      <c r="L49" s="372">
        <f t="shared" si="20"/>
        <v>326.529</v>
      </c>
      <c r="M49" s="372">
        <f t="shared" si="21"/>
        <v>1135.892419162421</v>
      </c>
      <c r="N49" s="373">
        <f t="shared" ref="N49" si="31">SUM(K49:M49)</f>
        <v>5816.1414191624208</v>
      </c>
      <c r="O49" s="451"/>
      <c r="Q49" s="374">
        <f t="shared" ref="Q49" si="32">IF(H49&lt;&gt;"",H49,"")</f>
        <v>1</v>
      </c>
      <c r="R49" s="375">
        <v>4</v>
      </c>
      <c r="S49" s="376">
        <v>989.47</v>
      </c>
      <c r="T49" s="452">
        <v>0</v>
      </c>
      <c r="U49" s="378">
        <f t="shared" ref="U49" si="33">IF(Q49&lt;&gt;"",K49-T49,"")</f>
        <v>4353.72</v>
      </c>
      <c r="V49" s="379">
        <f t="shared" ref="V49" si="34">IF(Q49&lt;&gt;"",0%,"")</f>
        <v>0</v>
      </c>
      <c r="W49" s="380">
        <f t="shared" ref="W49" si="35">IF(Q49&lt;&gt;"",V49*U49,"")</f>
        <v>0</v>
      </c>
      <c r="X49" s="380">
        <f t="shared" ref="X49" si="36">IF(Q49&lt;&gt;"",W49+T49,"")</f>
        <v>0</v>
      </c>
      <c r="Y49" s="381">
        <f t="shared" ref="Y49" si="37">IF(Q49&lt;&gt;"",X49+M49,"")</f>
        <v>1135.892419162421</v>
      </c>
      <c r="Z49" s="382">
        <f t="shared" ref="Z49" si="38">IF(Q49&lt;&gt;"", IFERROR(U49/K49, 0), 0)</f>
        <v>1</v>
      </c>
      <c r="AA49" s="383">
        <f t="shared" si="18"/>
        <v>0</v>
      </c>
      <c r="AG49" s="310" t="s">
        <v>344</v>
      </c>
      <c r="AN49" s="518">
        <f t="shared" si="2"/>
        <v>0</v>
      </c>
      <c r="AO49" s="519"/>
    </row>
    <row r="50" spans="1:42" ht="80.099999999999994" customHeight="1" x14ac:dyDescent="0.4">
      <c r="A50" s="334">
        <v>36</v>
      </c>
      <c r="B50" s="353" t="s">
        <v>191</v>
      </c>
      <c r="C50" s="354" t="s">
        <v>134</v>
      </c>
      <c r="D50" s="334" t="s">
        <v>157</v>
      </c>
      <c r="E50" s="334" t="s">
        <v>154</v>
      </c>
      <c r="F50" s="468" t="s">
        <v>183</v>
      </c>
      <c r="G50" s="457" t="s">
        <v>218</v>
      </c>
      <c r="H50" s="411">
        <v>5</v>
      </c>
      <c r="I50" s="411">
        <v>4</v>
      </c>
      <c r="J50" s="393">
        <v>612.24</v>
      </c>
      <c r="K50" s="372">
        <f t="shared" ref="K50:K57" si="39">IF(F50&lt;&gt;"",H50*I50*J50,"")</f>
        <v>12244.8</v>
      </c>
      <c r="L50" s="372">
        <f t="shared" ref="L50:L58" si="40">IF(K50&lt;&gt;"",IF(D50="INTERNO",0,K50*$L$14),"")</f>
        <v>918.3599999999999</v>
      </c>
      <c r="M50" s="372">
        <f t="shared" ref="M50:M58" si="41">IF(K50&lt;&gt;"",IF(E50="FAT.OGGI",SUM(K50:L50)*(1/(1-$M$14)-1),L50*(1/(1-$M$14)-1)),0)</f>
        <v>3194.687645085126</v>
      </c>
      <c r="N50" s="373">
        <f t="shared" ref="N50:N56" si="42">SUM(K50:M50)</f>
        <v>16357.847645085127</v>
      </c>
      <c r="O50" s="451"/>
      <c r="Q50" s="374">
        <f t="shared" ref="Q50:R52" si="43">IF(H50&lt;&gt;"",H50,"")</f>
        <v>5</v>
      </c>
      <c r="R50" s="375">
        <f t="shared" si="43"/>
        <v>4</v>
      </c>
      <c r="S50" s="376">
        <v>556.58600000000001</v>
      </c>
      <c r="T50" s="452">
        <v>1200</v>
      </c>
      <c r="U50" s="378">
        <f t="shared" ref="U50:U57" si="44">IF(Q50&lt;&gt;"",K50-T50,"")</f>
        <v>11044.8</v>
      </c>
      <c r="V50" s="379">
        <f t="shared" ref="V50:V57" si="45">IF(Q50&lt;&gt;"",0%,"")</f>
        <v>0</v>
      </c>
      <c r="W50" s="380">
        <f t="shared" ref="W50:W57" si="46">IF(Q50&lt;&gt;"",V50*U50,"")</f>
        <v>0</v>
      </c>
      <c r="X50" s="380">
        <f t="shared" ref="X50:X57" si="47">IF(Q50&lt;&gt;"",W50+T50,"")</f>
        <v>1200</v>
      </c>
      <c r="Y50" s="381">
        <f t="shared" ref="Y50:Y57" si="48">IF(Q50&lt;&gt;"",X50+M50,"")</f>
        <v>4394.687645085126</v>
      </c>
      <c r="Z50" s="382">
        <f t="shared" ref="Z50:Z57" si="49">IF(Q50&lt;&gt;"", IFERROR(U50/K50, 0), 0)</f>
        <v>0.9019992159937279</v>
      </c>
      <c r="AA50" s="383">
        <f t="shared" si="18"/>
        <v>2.4503412814917348E-2</v>
      </c>
      <c r="AG50" s="310" t="s">
        <v>344</v>
      </c>
      <c r="AN50" s="518">
        <f t="shared" si="2"/>
        <v>0</v>
      </c>
      <c r="AO50" s="519">
        <v>1200</v>
      </c>
      <c r="AP50" s="310" t="s">
        <v>492</v>
      </c>
    </row>
    <row r="51" spans="1:42" ht="80.099999999999994" customHeight="1" x14ac:dyDescent="0.4">
      <c r="A51" s="334">
        <v>37</v>
      </c>
      <c r="B51" s="353" t="s">
        <v>192</v>
      </c>
      <c r="C51" s="354" t="s">
        <v>134</v>
      </c>
      <c r="D51" s="334" t="s">
        <v>157</v>
      </c>
      <c r="E51" s="334" t="s">
        <v>154</v>
      </c>
      <c r="F51" s="469" t="s">
        <v>186</v>
      </c>
      <c r="G51" s="470" t="s">
        <v>228</v>
      </c>
      <c r="H51" s="450">
        <v>1</v>
      </c>
      <c r="I51" s="450">
        <v>6</v>
      </c>
      <c r="J51" s="393">
        <v>640</v>
      </c>
      <c r="K51" s="393">
        <f t="shared" si="39"/>
        <v>3840</v>
      </c>
      <c r="L51" s="372">
        <f t="shared" si="40"/>
        <v>288</v>
      </c>
      <c r="M51" s="372">
        <f t="shared" si="41"/>
        <v>1001.8620603951787</v>
      </c>
      <c r="N51" s="394">
        <f t="shared" si="42"/>
        <v>5129.8620603951786</v>
      </c>
      <c r="O51" s="421"/>
      <c r="Q51" s="395">
        <f t="shared" si="43"/>
        <v>1</v>
      </c>
      <c r="R51" s="396">
        <v>5</v>
      </c>
      <c r="S51" s="397">
        <v>648</v>
      </c>
      <c r="T51" s="471">
        <f t="shared" ref="T51" si="50">IF(Q51&lt;&gt;"",Q51*R51*S51,"")</f>
        <v>3240</v>
      </c>
      <c r="U51" s="399">
        <f t="shared" si="44"/>
        <v>600</v>
      </c>
      <c r="V51" s="400">
        <f t="shared" si="45"/>
        <v>0</v>
      </c>
      <c r="W51" s="401">
        <f t="shared" si="46"/>
        <v>0</v>
      </c>
      <c r="X51" s="401">
        <f t="shared" si="47"/>
        <v>3240</v>
      </c>
      <c r="Y51" s="402">
        <f t="shared" si="48"/>
        <v>4241.8620603951786</v>
      </c>
      <c r="Z51" s="382">
        <f t="shared" si="49"/>
        <v>0.15625</v>
      </c>
      <c r="AA51" s="383">
        <f t="shared" si="18"/>
        <v>6.6159214600276836E-2</v>
      </c>
      <c r="AN51" s="518">
        <f t="shared" si="2"/>
        <v>0</v>
      </c>
      <c r="AO51" s="519">
        <v>3240</v>
      </c>
      <c r="AP51" s="310" t="s">
        <v>476</v>
      </c>
    </row>
    <row r="52" spans="1:42" ht="80.099999999999994" customHeight="1" x14ac:dyDescent="0.4">
      <c r="A52" s="334">
        <v>38</v>
      </c>
      <c r="B52" s="353" t="s">
        <v>254</v>
      </c>
      <c r="C52" s="354" t="s">
        <v>134</v>
      </c>
      <c r="D52" s="334" t="s">
        <v>157</v>
      </c>
      <c r="E52" s="334" t="s">
        <v>154</v>
      </c>
      <c r="F52" s="468" t="s">
        <v>184</v>
      </c>
      <c r="G52" s="457" t="s">
        <v>215</v>
      </c>
      <c r="H52" s="450">
        <v>2</v>
      </c>
      <c r="I52" s="450">
        <v>7</v>
      </c>
      <c r="J52" s="393">
        <v>290</v>
      </c>
      <c r="K52" s="372">
        <f t="shared" si="39"/>
        <v>4060</v>
      </c>
      <c r="L52" s="372">
        <f t="shared" si="40"/>
        <v>304.5</v>
      </c>
      <c r="M52" s="372">
        <f t="shared" si="41"/>
        <v>1059.2604076053192</v>
      </c>
      <c r="N52" s="373">
        <f t="shared" si="42"/>
        <v>5423.7604076053194</v>
      </c>
      <c r="O52" s="421"/>
      <c r="Q52" s="374">
        <f t="shared" si="43"/>
        <v>2</v>
      </c>
      <c r="R52" s="375">
        <f t="shared" si="43"/>
        <v>7</v>
      </c>
      <c r="S52" s="376">
        <v>250</v>
      </c>
      <c r="T52" s="453">
        <v>0</v>
      </c>
      <c r="U52" s="378">
        <f t="shared" si="44"/>
        <v>4060</v>
      </c>
      <c r="V52" s="379">
        <f t="shared" si="45"/>
        <v>0</v>
      </c>
      <c r="W52" s="380">
        <f t="shared" si="46"/>
        <v>0</v>
      </c>
      <c r="X52" s="380">
        <f t="shared" si="47"/>
        <v>0</v>
      </c>
      <c r="Y52" s="381">
        <f t="shared" si="48"/>
        <v>1059.2604076053192</v>
      </c>
      <c r="Z52" s="382">
        <f t="shared" si="49"/>
        <v>1</v>
      </c>
      <c r="AA52" s="383">
        <f t="shared" si="18"/>
        <v>0</v>
      </c>
      <c r="AN52" s="518">
        <f t="shared" si="2"/>
        <v>0</v>
      </c>
      <c r="AO52" s="519"/>
    </row>
    <row r="53" spans="1:42" ht="80.099999999999994" customHeight="1" x14ac:dyDescent="0.4">
      <c r="A53" s="334">
        <v>38</v>
      </c>
      <c r="B53" s="353" t="s">
        <v>254</v>
      </c>
      <c r="C53" s="354" t="s">
        <v>134</v>
      </c>
      <c r="D53" s="334" t="s">
        <v>157</v>
      </c>
      <c r="E53" s="334" t="s">
        <v>154</v>
      </c>
      <c r="F53" s="468" t="s">
        <v>184</v>
      </c>
      <c r="G53" s="457" t="s">
        <v>436</v>
      </c>
      <c r="H53" s="450">
        <v>1</v>
      </c>
      <c r="I53" s="450">
        <v>1</v>
      </c>
      <c r="J53" s="393">
        <v>0</v>
      </c>
      <c r="K53" s="372">
        <f t="shared" ref="K53" si="51">IF(F53&lt;&gt;"",H53*I53*J53,"")</f>
        <v>0</v>
      </c>
      <c r="L53" s="372">
        <f t="shared" ref="L53" si="52">IF(K53&lt;&gt;"",IF(D53="INTERNO",0,K53*$L$14),"")</f>
        <v>0</v>
      </c>
      <c r="M53" s="372">
        <f t="shared" ref="M53" si="53">IF(K53&lt;&gt;"",IF(E53="FAT.OGGI",SUM(K53:L53)*(1/(1-$M$14)-1),L53*(1/(1-$M$14)-1)),0)</f>
        <v>0</v>
      </c>
      <c r="N53" s="373">
        <f t="shared" ref="N53" si="54">SUM(K53:M53)</f>
        <v>0</v>
      </c>
      <c r="O53" s="421"/>
      <c r="Q53" s="374">
        <f t="shared" ref="Q53" si="55">IF(H53&lt;&gt;"",H53,"")</f>
        <v>1</v>
      </c>
      <c r="R53" s="375">
        <f t="shared" ref="R53" si="56">IF(I53&lt;&gt;"",I53,"")</f>
        <v>1</v>
      </c>
      <c r="S53" s="376">
        <v>0</v>
      </c>
      <c r="T53" s="453">
        <v>7370</v>
      </c>
      <c r="U53" s="378">
        <f t="shared" ref="U53" si="57">IF(Q53&lt;&gt;"",K53-T53,"")</f>
        <v>-7370</v>
      </c>
      <c r="V53" s="379">
        <f t="shared" ref="V53" si="58">IF(Q53&lt;&gt;"",0%,"")</f>
        <v>0</v>
      </c>
      <c r="W53" s="380">
        <f t="shared" ref="W53" si="59">IF(Q53&lt;&gt;"",V53*U53,"")</f>
        <v>0</v>
      </c>
      <c r="X53" s="380">
        <f t="shared" ref="X53" si="60">IF(Q53&lt;&gt;"",W53+T53,"")</f>
        <v>7370</v>
      </c>
      <c r="Y53" s="381">
        <f t="shared" ref="Y53" si="61">IF(Q53&lt;&gt;"",X53+M53,"")</f>
        <v>7370</v>
      </c>
      <c r="Z53" s="382">
        <f t="shared" ref="Z53" si="62">IF(Q53&lt;&gt;"", IFERROR(U53/K53, 0), 0)</f>
        <v>0</v>
      </c>
      <c r="AA53" s="383">
        <f t="shared" ref="AA53" si="63">IFERROR(T53/$T$61, "")</f>
        <v>0.15049179370495072</v>
      </c>
      <c r="AN53" s="518">
        <f t="shared" si="2"/>
        <v>0</v>
      </c>
      <c r="AO53" s="519">
        <v>7370</v>
      </c>
      <c r="AP53" s="310" t="s">
        <v>494</v>
      </c>
    </row>
    <row r="54" spans="1:42" ht="80.099999999999994" customHeight="1" x14ac:dyDescent="0.4">
      <c r="A54" s="334">
        <v>39</v>
      </c>
      <c r="B54" s="353" t="s">
        <v>255</v>
      </c>
      <c r="C54" s="354" t="s">
        <v>134</v>
      </c>
      <c r="D54" s="334" t="s">
        <v>157</v>
      </c>
      <c r="E54" s="334" t="s">
        <v>154</v>
      </c>
      <c r="F54" s="468" t="s">
        <v>185</v>
      </c>
      <c r="G54" s="457" t="s">
        <v>305</v>
      </c>
      <c r="H54" s="411">
        <v>4</v>
      </c>
      <c r="I54" s="411">
        <v>4</v>
      </c>
      <c r="J54" s="393">
        <v>750</v>
      </c>
      <c r="K54" s="372">
        <f t="shared" si="39"/>
        <v>12000</v>
      </c>
      <c r="L54" s="372">
        <f t="shared" si="40"/>
        <v>900</v>
      </c>
      <c r="M54" s="372">
        <f t="shared" si="41"/>
        <v>3130.8189387349335</v>
      </c>
      <c r="N54" s="373">
        <f t="shared" si="42"/>
        <v>16030.818938734934</v>
      </c>
      <c r="O54" s="421"/>
      <c r="Q54" s="374">
        <v>5</v>
      </c>
      <c r="R54" s="375">
        <f>IF(I54&lt;&gt;"",I54,"")</f>
        <v>4</v>
      </c>
      <c r="S54" s="376">
        <v>550</v>
      </c>
      <c r="T54" s="472">
        <f>IF(Q54&lt;&gt;"",Q54*R54*S54,"")-500</f>
        <v>10500</v>
      </c>
      <c r="U54" s="378">
        <f t="shared" si="44"/>
        <v>1500</v>
      </c>
      <c r="V54" s="379">
        <f t="shared" si="45"/>
        <v>0</v>
      </c>
      <c r="W54" s="380">
        <f t="shared" si="46"/>
        <v>0</v>
      </c>
      <c r="X54" s="380">
        <f t="shared" si="47"/>
        <v>10500</v>
      </c>
      <c r="Y54" s="381">
        <f t="shared" si="48"/>
        <v>13630.818938734934</v>
      </c>
      <c r="Z54" s="382">
        <f t="shared" si="49"/>
        <v>0.125</v>
      </c>
      <c r="AA54" s="383">
        <f t="shared" si="18"/>
        <v>0.21440486213052681</v>
      </c>
      <c r="AN54" s="518">
        <f t="shared" si="2"/>
        <v>0</v>
      </c>
      <c r="AO54" s="519">
        <v>10500</v>
      </c>
      <c r="AP54" s="310" t="s">
        <v>468</v>
      </c>
    </row>
    <row r="55" spans="1:42" ht="80.099999999999994" customHeight="1" x14ac:dyDescent="0.4">
      <c r="A55" s="334">
        <v>40</v>
      </c>
      <c r="B55" s="353" t="s">
        <v>256</v>
      </c>
      <c r="C55" s="354" t="s">
        <v>134</v>
      </c>
      <c r="D55" s="334" t="s">
        <v>157</v>
      </c>
      <c r="E55" s="334" t="s">
        <v>154</v>
      </c>
      <c r="F55" s="468" t="s">
        <v>185</v>
      </c>
      <c r="G55" s="457" t="s">
        <v>306</v>
      </c>
      <c r="H55" s="411">
        <v>2</v>
      </c>
      <c r="I55" s="411">
        <v>4</v>
      </c>
      <c r="J55" s="393">
        <v>625</v>
      </c>
      <c r="K55" s="372">
        <f t="shared" si="39"/>
        <v>5000</v>
      </c>
      <c r="L55" s="372">
        <f t="shared" si="40"/>
        <v>375</v>
      </c>
      <c r="M55" s="372">
        <f t="shared" si="41"/>
        <v>1304.5078911395556</v>
      </c>
      <c r="N55" s="373">
        <f t="shared" si="42"/>
        <v>6679.5078911395558</v>
      </c>
      <c r="O55" s="421"/>
      <c r="Q55" s="473">
        <v>1</v>
      </c>
      <c r="R55" s="375">
        <f>IF(I55&lt;&gt;"",I55,"")</f>
        <v>4</v>
      </c>
      <c r="S55" s="376">
        <v>625</v>
      </c>
      <c r="T55" s="472">
        <f t="shared" ref="T55" si="64">IF(Q55&lt;&gt;"",Q55*R55*S55,"")</f>
        <v>2500</v>
      </c>
      <c r="U55" s="378">
        <f t="shared" si="44"/>
        <v>2500</v>
      </c>
      <c r="V55" s="379">
        <f t="shared" si="45"/>
        <v>0</v>
      </c>
      <c r="W55" s="380">
        <f t="shared" si="46"/>
        <v>0</v>
      </c>
      <c r="X55" s="380">
        <f t="shared" si="47"/>
        <v>2500</v>
      </c>
      <c r="Y55" s="381">
        <f t="shared" si="48"/>
        <v>3804.5078911395558</v>
      </c>
      <c r="Z55" s="382">
        <f t="shared" si="49"/>
        <v>0.5</v>
      </c>
      <c r="AA55" s="383">
        <f t="shared" ref="AA55" si="65">IFERROR(T55/$T$61, "")</f>
        <v>5.1048776697744477E-2</v>
      </c>
      <c r="AN55" s="518">
        <f t="shared" si="2"/>
        <v>0</v>
      </c>
      <c r="AO55" s="519">
        <v>2500</v>
      </c>
      <c r="AP55" s="310" t="s">
        <v>469</v>
      </c>
    </row>
    <row r="56" spans="1:42" ht="80.099999999999994" customHeight="1" x14ac:dyDescent="0.4">
      <c r="A56" s="334">
        <v>41</v>
      </c>
      <c r="B56" s="353" t="s">
        <v>257</v>
      </c>
      <c r="C56" s="354" t="s">
        <v>134</v>
      </c>
      <c r="D56" s="334" t="s">
        <v>157</v>
      </c>
      <c r="E56" s="334" t="s">
        <v>154</v>
      </c>
      <c r="F56" s="468" t="s">
        <v>185</v>
      </c>
      <c r="G56" s="457" t="s">
        <v>307</v>
      </c>
      <c r="H56" s="411">
        <v>1</v>
      </c>
      <c r="I56" s="411">
        <v>4</v>
      </c>
      <c r="J56" s="393">
        <v>400</v>
      </c>
      <c r="K56" s="372">
        <f t="shared" si="39"/>
        <v>1600</v>
      </c>
      <c r="L56" s="372">
        <f t="shared" si="40"/>
        <v>120</v>
      </c>
      <c r="M56" s="372">
        <f t="shared" si="41"/>
        <v>417.44252516465775</v>
      </c>
      <c r="N56" s="373">
        <f t="shared" si="42"/>
        <v>2137.4425251646576</v>
      </c>
      <c r="O56" s="421"/>
      <c r="Q56" s="374">
        <v>1</v>
      </c>
      <c r="R56" s="375">
        <f>IF(I56&lt;&gt;"",I56,"")</f>
        <v>4</v>
      </c>
      <c r="S56" s="376">
        <v>400</v>
      </c>
      <c r="T56" s="472">
        <f t="shared" ref="T56" si="66">IF(Q56&lt;&gt;"",Q56*R56*S56,"")</f>
        <v>1600</v>
      </c>
      <c r="U56" s="378">
        <f t="shared" si="44"/>
        <v>0</v>
      </c>
      <c r="V56" s="379">
        <f t="shared" si="45"/>
        <v>0</v>
      </c>
      <c r="W56" s="380">
        <f t="shared" si="46"/>
        <v>0</v>
      </c>
      <c r="X56" s="380">
        <f t="shared" si="47"/>
        <v>1600</v>
      </c>
      <c r="Y56" s="381">
        <f t="shared" si="48"/>
        <v>2017.4425251646578</v>
      </c>
      <c r="Z56" s="382">
        <f t="shared" si="49"/>
        <v>0</v>
      </c>
      <c r="AA56" s="383">
        <f t="shared" ref="AA56:AA57" si="67">IFERROR(T56/$T$61, "")</f>
        <v>3.2671217086556466E-2</v>
      </c>
      <c r="AN56" s="518">
        <f t="shared" si="2"/>
        <v>0</v>
      </c>
      <c r="AO56" s="519">
        <v>1600</v>
      </c>
      <c r="AP56" s="310" t="s">
        <v>471</v>
      </c>
    </row>
    <row r="57" spans="1:42" ht="80.099999999999994" customHeight="1" x14ac:dyDescent="0.4">
      <c r="A57" s="334">
        <v>42</v>
      </c>
      <c r="B57" s="353" t="s">
        <v>258</v>
      </c>
      <c r="C57" s="354" t="s">
        <v>134</v>
      </c>
      <c r="D57" s="334" t="s">
        <v>157</v>
      </c>
      <c r="E57" s="334" t="s">
        <v>154</v>
      </c>
      <c r="F57" s="468" t="s">
        <v>185</v>
      </c>
      <c r="G57" s="457" t="s">
        <v>323</v>
      </c>
      <c r="H57" s="411">
        <v>1</v>
      </c>
      <c r="I57" s="411">
        <v>4</v>
      </c>
      <c r="J57" s="412">
        <v>750</v>
      </c>
      <c r="K57" s="372">
        <f t="shared" si="39"/>
        <v>3000</v>
      </c>
      <c r="L57" s="372">
        <f t="shared" ref="L57" si="68">IF(K57&lt;&gt;"",IF(D57="INTERNO",0,K57*$L$14),"")</f>
        <v>225</v>
      </c>
      <c r="M57" s="372">
        <f t="shared" ref="M57" si="69">IF(K57&lt;&gt;"",IF(E57="FAT.OGGI",SUM(K57:L57)*(1/(1-$M$14)-1),L57*(1/(1-$M$14)-1)),0)</f>
        <v>782.70473468373336</v>
      </c>
      <c r="N57" s="373">
        <f>SUM(K57:M57)</f>
        <v>4007.7047346837335</v>
      </c>
      <c r="O57" s="421"/>
      <c r="Q57" s="374">
        <v>1</v>
      </c>
      <c r="R57" s="375">
        <v>6</v>
      </c>
      <c r="S57" s="376">
        <v>500</v>
      </c>
      <c r="T57" s="472">
        <v>0</v>
      </c>
      <c r="U57" s="378">
        <f t="shared" si="44"/>
        <v>3000</v>
      </c>
      <c r="V57" s="379">
        <f t="shared" si="45"/>
        <v>0</v>
      </c>
      <c r="W57" s="380">
        <f t="shared" si="46"/>
        <v>0</v>
      </c>
      <c r="X57" s="380">
        <f t="shared" si="47"/>
        <v>0</v>
      </c>
      <c r="Y57" s="381">
        <f t="shared" si="48"/>
        <v>782.70473468373336</v>
      </c>
      <c r="Z57" s="382">
        <f t="shared" si="49"/>
        <v>1</v>
      </c>
      <c r="AA57" s="383">
        <f t="shared" si="67"/>
        <v>0</v>
      </c>
      <c r="AN57" s="518">
        <f t="shared" si="2"/>
        <v>0</v>
      </c>
      <c r="AO57" s="519"/>
    </row>
    <row r="58" spans="1:42" ht="80.099999999999994" customHeight="1" x14ac:dyDescent="0.4">
      <c r="A58" s="334">
        <v>43</v>
      </c>
      <c r="B58" s="353" t="s">
        <v>319</v>
      </c>
      <c r="C58" s="354" t="s">
        <v>134</v>
      </c>
      <c r="D58" s="334" t="s">
        <v>157</v>
      </c>
      <c r="E58" s="334" t="s">
        <v>154</v>
      </c>
      <c r="F58" s="468" t="s">
        <v>353</v>
      </c>
      <c r="G58" s="457" t="s">
        <v>351</v>
      </c>
      <c r="H58" s="411">
        <v>1</v>
      </c>
      <c r="I58" s="411">
        <v>4</v>
      </c>
      <c r="J58" s="474">
        <v>850</v>
      </c>
      <c r="K58" s="372">
        <f t="shared" ref="K58" si="70">IF(F58&lt;&gt;"",H58*I58*J58,"")</f>
        <v>3400</v>
      </c>
      <c r="L58" s="372">
        <f t="shared" si="40"/>
        <v>255</v>
      </c>
      <c r="M58" s="372">
        <f t="shared" si="41"/>
        <v>887.06536597489776</v>
      </c>
      <c r="N58" s="373">
        <f t="shared" ref="N58" si="71">SUM(K58:M58)</f>
        <v>4542.0653659748978</v>
      </c>
      <c r="O58" s="421"/>
      <c r="Q58" s="374">
        <v>1</v>
      </c>
      <c r="R58" s="375">
        <f t="shared" ref="R58" si="72">IF(I58&lt;&gt;"",I58,"")</f>
        <v>4</v>
      </c>
      <c r="S58" s="376">
        <v>650</v>
      </c>
      <c r="T58" s="472">
        <v>2482.77</v>
      </c>
      <c r="U58" s="378">
        <f t="shared" ref="U58" si="73">IF(Q58&lt;&gt;"",K58-T58,"")</f>
        <v>917.23</v>
      </c>
      <c r="V58" s="379">
        <f t="shared" ref="V58" si="74">IF(Q58&lt;&gt;"",0%,"")</f>
        <v>0</v>
      </c>
      <c r="W58" s="380">
        <f t="shared" ref="W58" si="75">IF(Q58&lt;&gt;"",V58*U58,"")</f>
        <v>0</v>
      </c>
      <c r="X58" s="380">
        <f t="shared" ref="X58" si="76">IF(Q58&lt;&gt;"",W58+T58,"")</f>
        <v>2482.77</v>
      </c>
      <c r="Y58" s="381">
        <f t="shared" ref="Y58" si="77">IF(Q58&lt;&gt;"",X58+M58,"")</f>
        <v>3369.8353659748977</v>
      </c>
      <c r="Z58" s="382">
        <f t="shared" ref="Z58" si="78">IF(Q58&lt;&gt;"", IFERROR(U58/K58, 0), 0)</f>
        <v>0.26977352941176469</v>
      </c>
      <c r="AA58" s="383">
        <f t="shared" si="18"/>
        <v>5.0696948528743624E-2</v>
      </c>
      <c r="AN58" s="518">
        <f t="shared" si="2"/>
        <v>0</v>
      </c>
      <c r="AO58" s="519">
        <v>2482.77</v>
      </c>
      <c r="AP58" s="310" t="s">
        <v>470</v>
      </c>
    </row>
    <row r="59" spans="1:42" ht="80.099999999999994" customHeight="1" x14ac:dyDescent="0.4">
      <c r="A59" s="432">
        <v>44</v>
      </c>
      <c r="B59" s="353" t="s">
        <v>320</v>
      </c>
      <c r="C59" s="433" t="s">
        <v>134</v>
      </c>
      <c r="D59" s="334" t="s">
        <v>157</v>
      </c>
      <c r="E59" s="334" t="s">
        <v>154</v>
      </c>
      <c r="F59" s="469" t="s">
        <v>316</v>
      </c>
      <c r="G59" s="470" t="s">
        <v>231</v>
      </c>
      <c r="H59" s="450">
        <v>2</v>
      </c>
      <c r="I59" s="450">
        <v>1</v>
      </c>
      <c r="J59" s="393">
        <v>1900</v>
      </c>
      <c r="K59" s="393">
        <f t="shared" si="19"/>
        <v>3800</v>
      </c>
      <c r="L59" s="393">
        <f t="shared" si="20"/>
        <v>285</v>
      </c>
      <c r="M59" s="393">
        <f t="shared" si="21"/>
        <v>991.42599726606215</v>
      </c>
      <c r="N59" s="394">
        <f t="shared" si="22"/>
        <v>5076.425997266062</v>
      </c>
      <c r="O59" s="421"/>
      <c r="Q59" s="395">
        <f t="shared" si="23"/>
        <v>2</v>
      </c>
      <c r="R59" s="396">
        <f t="shared" si="23"/>
        <v>1</v>
      </c>
      <c r="S59" s="455">
        <v>1300</v>
      </c>
      <c r="T59" s="455">
        <v>2800</v>
      </c>
      <c r="U59" s="399">
        <f t="shared" si="24"/>
        <v>1000</v>
      </c>
      <c r="V59" s="400">
        <f t="shared" si="25"/>
        <v>0</v>
      </c>
      <c r="W59" s="401">
        <f t="shared" si="26"/>
        <v>0</v>
      </c>
      <c r="X59" s="401">
        <f t="shared" si="27"/>
        <v>2800</v>
      </c>
      <c r="Y59" s="402">
        <f t="shared" si="28"/>
        <v>3791.425997266062</v>
      </c>
      <c r="Z59" s="382">
        <f t="shared" si="29"/>
        <v>0.26315789473684209</v>
      </c>
      <c r="AA59" s="383">
        <f t="shared" si="18"/>
        <v>5.7174629901473817E-2</v>
      </c>
      <c r="AG59" s="310" t="s">
        <v>344</v>
      </c>
      <c r="AN59" s="518">
        <f t="shared" si="2"/>
        <v>0</v>
      </c>
      <c r="AO59" s="519">
        <v>2800</v>
      </c>
      <c r="AP59" s="310" t="s">
        <v>489</v>
      </c>
    </row>
    <row r="60" spans="1:42" ht="80.099999999999994" customHeight="1" x14ac:dyDescent="0.4">
      <c r="A60" s="432">
        <v>45</v>
      </c>
      <c r="B60" s="353" t="s">
        <v>321</v>
      </c>
      <c r="C60" s="433" t="s">
        <v>134</v>
      </c>
      <c r="D60" s="334" t="s">
        <v>157</v>
      </c>
      <c r="E60" s="334" t="s">
        <v>154</v>
      </c>
      <c r="F60" s="469" t="s">
        <v>245</v>
      </c>
      <c r="G60" s="470" t="s">
        <v>248</v>
      </c>
      <c r="H60" s="450">
        <v>1</v>
      </c>
      <c r="I60" s="450">
        <v>1</v>
      </c>
      <c r="J60" s="393">
        <v>17000</v>
      </c>
      <c r="K60" s="393">
        <f t="shared" ref="K60" si="79">IF(F60&lt;&gt;"",H60*I60*J60,"")</f>
        <v>17000</v>
      </c>
      <c r="L60" s="393">
        <f t="shared" si="20"/>
        <v>1275</v>
      </c>
      <c r="M60" s="393">
        <f t="shared" si="21"/>
        <v>4435.3268298744888</v>
      </c>
      <c r="N60" s="394">
        <f t="shared" ref="N60" si="80">SUM(K60:M60)</f>
        <v>22710.326829874488</v>
      </c>
      <c r="O60" s="421"/>
      <c r="Q60" s="395">
        <f t="shared" ref="Q60" si="81">IF(H60&lt;&gt;"",H60,"")</f>
        <v>1</v>
      </c>
      <c r="R60" s="396">
        <f t="shared" ref="R60" si="82">IF(I60&lt;&gt;"",I60,"")</f>
        <v>1</v>
      </c>
      <c r="S60" s="475">
        <v>18000</v>
      </c>
      <c r="T60" s="475">
        <v>17280</v>
      </c>
      <c r="U60" s="399">
        <f t="shared" ref="U60" si="83">IF(Q60&lt;&gt;"",K60-T60,"")</f>
        <v>-280</v>
      </c>
      <c r="V60" s="400">
        <f t="shared" ref="V60" si="84">IF(Q60&lt;&gt;"",0%,"")</f>
        <v>0</v>
      </c>
      <c r="W60" s="401">
        <f t="shared" ref="W60" si="85">IF(Q60&lt;&gt;"",V60*U60,"")</f>
        <v>0</v>
      </c>
      <c r="X60" s="401">
        <f t="shared" ref="X60" si="86">IF(Q60&lt;&gt;"",W60+T60,"")</f>
        <v>17280</v>
      </c>
      <c r="Y60" s="402">
        <f t="shared" ref="Y60" si="87">IF(Q60&lt;&gt;"",X60+M60,"")</f>
        <v>21715.326829874488</v>
      </c>
      <c r="Z60" s="382">
        <f t="shared" ref="Z60" si="88">IF(Q60&lt;&gt;"", IFERROR(U60/K60, 0), 0)</f>
        <v>-1.6470588235294119E-2</v>
      </c>
      <c r="AA60" s="383">
        <f t="shared" si="18"/>
        <v>0.35284914453480981</v>
      </c>
      <c r="AG60" s="310" t="s">
        <v>346</v>
      </c>
      <c r="AN60" s="518">
        <f t="shared" si="2"/>
        <v>0</v>
      </c>
      <c r="AO60" s="519">
        <v>17280</v>
      </c>
      <c r="AP60" s="310" t="s">
        <v>466</v>
      </c>
    </row>
    <row r="61" spans="1:42" ht="35.1" customHeight="1" thickBot="1" x14ac:dyDescent="0.5">
      <c r="A61" s="432">
        <v>46</v>
      </c>
      <c r="B61" s="353"/>
      <c r="C61" s="433" t="s">
        <v>142</v>
      </c>
      <c r="D61" s="432"/>
      <c r="E61" s="432"/>
      <c r="F61" s="643" t="s">
        <v>219</v>
      </c>
      <c r="G61" s="644"/>
      <c r="H61" s="644"/>
      <c r="I61" s="644"/>
      <c r="J61" s="644"/>
      <c r="K61" s="476">
        <f>SUM(K47:K60)</f>
        <v>111930.96</v>
      </c>
      <c r="L61" s="476">
        <f>SUM(L47:L60)</f>
        <v>8394.8220000000001</v>
      </c>
      <c r="M61" s="476">
        <f>SUM(M47:M60)</f>
        <v>29202.964116565185</v>
      </c>
      <c r="N61" s="477">
        <f>SUM(N47:N60)</f>
        <v>149528.74611656522</v>
      </c>
      <c r="O61" s="426"/>
      <c r="Q61" s="667" t="s">
        <v>219</v>
      </c>
      <c r="R61" s="668"/>
      <c r="S61" s="668"/>
      <c r="T61" s="478">
        <f>SUM(T47:T60)</f>
        <v>48972.770000000004</v>
      </c>
      <c r="U61" s="479">
        <f>SUM(U47:U60)</f>
        <v>62958.19000000001</v>
      </c>
      <c r="V61" s="480"/>
      <c r="W61" s="481"/>
      <c r="X61" s="482">
        <f>SUM(X47:X60)</f>
        <v>48972.770000000004</v>
      </c>
      <c r="Y61" s="483">
        <f>IF(Q61&lt;&gt;"",X61+M61,"")</f>
        <v>78175.734116565189</v>
      </c>
      <c r="Z61" s="484"/>
      <c r="AN61" s="518"/>
      <c r="AO61" s="519"/>
    </row>
    <row r="62" spans="1:42" ht="35.1" customHeight="1" thickBot="1" x14ac:dyDescent="0.5">
      <c r="A62" s="430">
        <v>47</v>
      </c>
      <c r="B62" s="353">
        <v>6</v>
      </c>
      <c r="C62" s="431" t="s">
        <v>128</v>
      </c>
      <c r="D62" s="430"/>
      <c r="E62" s="430"/>
      <c r="F62" s="637" t="s">
        <v>193</v>
      </c>
      <c r="G62" s="638"/>
      <c r="H62" s="638"/>
      <c r="I62" s="638"/>
      <c r="J62" s="638"/>
      <c r="K62" s="638"/>
      <c r="L62" s="638"/>
      <c r="M62" s="638"/>
      <c r="N62" s="639"/>
      <c r="O62" s="426"/>
      <c r="Q62" s="637" t="str">
        <f>IF(F62&lt;&gt;"",F62,"")</f>
        <v>Equipe de Produção</v>
      </c>
      <c r="R62" s="638"/>
      <c r="S62" s="638"/>
      <c r="T62" s="638"/>
      <c r="U62" s="638"/>
      <c r="V62" s="638"/>
      <c r="W62" s="638"/>
      <c r="X62" s="638"/>
      <c r="Y62" s="639"/>
      <c r="AN62" s="518"/>
      <c r="AO62" s="519"/>
    </row>
    <row r="63" spans="1:42" ht="35.1" customHeight="1" x14ac:dyDescent="0.45">
      <c r="A63" s="334">
        <v>48</v>
      </c>
      <c r="B63" s="353" t="s">
        <v>199</v>
      </c>
      <c r="C63" s="354" t="s">
        <v>129</v>
      </c>
      <c r="D63" s="334"/>
      <c r="E63" s="334"/>
      <c r="F63" s="633" t="s">
        <v>278</v>
      </c>
      <c r="G63" s="634"/>
      <c r="H63" s="634"/>
      <c r="I63" s="634"/>
      <c r="J63" s="634"/>
      <c r="K63" s="635"/>
      <c r="L63" s="356" t="s">
        <v>131</v>
      </c>
      <c r="M63" s="357" t="s">
        <v>132</v>
      </c>
      <c r="N63" s="358" t="s">
        <v>74</v>
      </c>
      <c r="O63" s="426"/>
      <c r="Q63" s="633" t="str">
        <f>IF(F63&lt;&gt;"",F63,"")</f>
        <v>Produtores - Carol</v>
      </c>
      <c r="R63" s="634"/>
      <c r="S63" s="634"/>
      <c r="T63" s="634"/>
      <c r="U63" s="634"/>
      <c r="V63" s="634"/>
      <c r="W63" s="634"/>
      <c r="X63" s="634"/>
      <c r="Y63" s="636"/>
      <c r="Z63" s="359" t="s">
        <v>133</v>
      </c>
      <c r="AA63" s="360" t="s">
        <v>75</v>
      </c>
      <c r="AN63" s="518"/>
      <c r="AO63" s="519"/>
    </row>
    <row r="64" spans="1:42" ht="80.099999999999994" customHeight="1" x14ac:dyDescent="0.4">
      <c r="A64" s="334">
        <v>49</v>
      </c>
      <c r="B64" s="353" t="s">
        <v>200</v>
      </c>
      <c r="C64" s="354" t="s">
        <v>134</v>
      </c>
      <c r="D64" s="334" t="s">
        <v>157</v>
      </c>
      <c r="E64" s="334" t="s">
        <v>154</v>
      </c>
      <c r="F64" s="485" t="s">
        <v>311</v>
      </c>
      <c r="G64" s="457" t="s">
        <v>194</v>
      </c>
      <c r="H64" s="411">
        <v>1</v>
      </c>
      <c r="I64" s="411">
        <v>9</v>
      </c>
      <c r="J64" s="393">
        <v>850</v>
      </c>
      <c r="K64" s="372">
        <f>IF(F64&lt;&gt;"",H64*I64*J64,"")</f>
        <v>7650</v>
      </c>
      <c r="L64" s="372">
        <f>IF(K64&lt;&gt;"",IF(D64="INTERNO",0,K64*$L$14),"")</f>
        <v>573.75</v>
      </c>
      <c r="M64" s="372">
        <f>IF(K64&lt;&gt;"",IF(E64="FAT.OGGI",SUM(K64:L64)*(1/(1-$M$14)-1),L64*(1/(1-$M$14)-1)),0)</f>
        <v>1995.89707344352</v>
      </c>
      <c r="N64" s="373">
        <f>SUM(K64:M64)</f>
        <v>10219.647073443521</v>
      </c>
      <c r="O64" s="421"/>
      <c r="Q64" s="374">
        <f t="shared" ref="Q64:R67" si="89">IF(H64&lt;&gt;"",H64,"")</f>
        <v>1</v>
      </c>
      <c r="R64" s="375">
        <v>1</v>
      </c>
      <c r="S64" s="376">
        <v>10000</v>
      </c>
      <c r="T64" s="472">
        <f>IF(Q64&lt;&gt;"",Q64*R64*S64,"")</f>
        <v>10000</v>
      </c>
      <c r="U64" s="378">
        <f>IF(Q64&lt;&gt;"",K64-T64,"")</f>
        <v>-2350</v>
      </c>
      <c r="V64" s="379">
        <f>IF(Q64&lt;&gt;"",0%,"")</f>
        <v>0</v>
      </c>
      <c r="W64" s="380">
        <f>IF(Q64&lt;&gt;"",V64*U64,"")</f>
        <v>0</v>
      </c>
      <c r="X64" s="380">
        <f>IF(Q64&lt;&gt;"",W64+T64,"")</f>
        <v>10000</v>
      </c>
      <c r="Y64" s="381">
        <f t="shared" ref="Y64:Y69" si="90">IF(Q64&lt;&gt;"",X64+M64,"")</f>
        <v>11995.897073443521</v>
      </c>
      <c r="Z64" s="382">
        <f>IF(Q64&lt;&gt;"", IFERROR(U64/K64, 0), 0)</f>
        <v>-0.30718954248366015</v>
      </c>
      <c r="AA64" s="383">
        <f>IFERROR(T64/$T$69, "")</f>
        <v>0.54200542005420049</v>
      </c>
      <c r="AG64" s="310" t="s">
        <v>52</v>
      </c>
      <c r="AN64" s="518">
        <f t="shared" si="2"/>
        <v>0</v>
      </c>
      <c r="AO64" s="519">
        <v>10000</v>
      </c>
      <c r="AP64" s="310" t="s">
        <v>462</v>
      </c>
    </row>
    <row r="65" spans="1:42" ht="80.099999999999994" customHeight="1" x14ac:dyDescent="0.4">
      <c r="A65" s="334">
        <v>50</v>
      </c>
      <c r="B65" s="353" t="s">
        <v>201</v>
      </c>
      <c r="C65" s="354" t="s">
        <v>134</v>
      </c>
      <c r="D65" s="334" t="s">
        <v>157</v>
      </c>
      <c r="E65" s="334" t="s">
        <v>154</v>
      </c>
      <c r="F65" s="486" t="s">
        <v>317</v>
      </c>
      <c r="G65" s="457" t="s">
        <v>195</v>
      </c>
      <c r="H65" s="411">
        <v>1</v>
      </c>
      <c r="I65" s="411">
        <v>5</v>
      </c>
      <c r="J65" s="393">
        <v>850</v>
      </c>
      <c r="K65" s="372">
        <f>IF(F65&lt;&gt;"",H65*I65*J65,"")</f>
        <v>4250</v>
      </c>
      <c r="L65" s="372">
        <f>IF(K65&lt;&gt;"",IF(D65="INTERNO",0,K65*$L$14),"")</f>
        <v>318.75</v>
      </c>
      <c r="M65" s="372">
        <f>IF(K65&lt;&gt;"",IF(E65="FAT.OGGI",SUM(K65:L65)*(1/(1-$M$14)-1),L65*(1/(1-$M$14)-1)),0)</f>
        <v>1108.8317074686222</v>
      </c>
      <c r="N65" s="373">
        <f>SUM(K65:M65)</f>
        <v>5677.581707468622</v>
      </c>
      <c r="O65" s="421"/>
      <c r="Q65" s="374">
        <f t="shared" si="89"/>
        <v>1</v>
      </c>
      <c r="R65" s="375">
        <f t="shared" si="89"/>
        <v>5</v>
      </c>
      <c r="S65" s="376">
        <v>650</v>
      </c>
      <c r="T65" s="472">
        <v>0</v>
      </c>
      <c r="U65" s="378">
        <f>IF(Q65&lt;&gt;"",K65-T65,"")</f>
        <v>4250</v>
      </c>
      <c r="V65" s="379">
        <f>IF(Q65&lt;&gt;"",0%,"")</f>
        <v>0</v>
      </c>
      <c r="W65" s="380">
        <f>IF(Q65&lt;&gt;"",V65*U65,"")</f>
        <v>0</v>
      </c>
      <c r="X65" s="380">
        <f>IF(Q65&lt;&gt;"",W65+T65,"")</f>
        <v>0</v>
      </c>
      <c r="Y65" s="381">
        <f t="shared" si="90"/>
        <v>1108.8317074686222</v>
      </c>
      <c r="Z65" s="382">
        <f>IF(Q65&lt;&gt;"", IFERROR(U65/K65, 0), 0)</f>
        <v>1</v>
      </c>
      <c r="AA65" s="383">
        <f>IFERROR(T65/$T$69, "")</f>
        <v>0</v>
      </c>
      <c r="AG65" s="310" t="s">
        <v>52</v>
      </c>
      <c r="AN65" s="518">
        <f t="shared" si="2"/>
        <v>0</v>
      </c>
      <c r="AO65" s="519"/>
    </row>
    <row r="66" spans="1:42" ht="80.099999999999994" customHeight="1" x14ac:dyDescent="0.4">
      <c r="A66" s="334">
        <v>51</v>
      </c>
      <c r="B66" s="353" t="s">
        <v>202</v>
      </c>
      <c r="C66" s="354" t="s">
        <v>134</v>
      </c>
      <c r="D66" s="334" t="s">
        <v>157</v>
      </c>
      <c r="E66" s="334" t="s">
        <v>154</v>
      </c>
      <c r="F66" s="486" t="s">
        <v>312</v>
      </c>
      <c r="G66" s="457" t="s">
        <v>196</v>
      </c>
      <c r="H66" s="411">
        <v>1</v>
      </c>
      <c r="I66" s="411">
        <v>5</v>
      </c>
      <c r="J66" s="393">
        <v>850</v>
      </c>
      <c r="K66" s="372">
        <f>IF(F66&lt;&gt;"",H66*I66*J66,"")</f>
        <v>4250</v>
      </c>
      <c r="L66" s="372">
        <f>IF(K66&lt;&gt;"",IF(D66="INTERNO",0,K66*$L$14),"")</f>
        <v>318.75</v>
      </c>
      <c r="M66" s="372">
        <f>IF(K66&lt;&gt;"",IF(E66="FAT.OGGI",SUM(K66:L66)*(1/(1-$M$14)-1),L66*(1/(1-$M$14)-1)),0)</f>
        <v>1108.8317074686222</v>
      </c>
      <c r="N66" s="373">
        <f>SUM(K66:M66)</f>
        <v>5677.581707468622</v>
      </c>
      <c r="O66" s="421"/>
      <c r="Q66" s="374">
        <f t="shared" si="89"/>
        <v>1</v>
      </c>
      <c r="R66" s="375">
        <f t="shared" si="89"/>
        <v>5</v>
      </c>
      <c r="S66" s="376">
        <v>650</v>
      </c>
      <c r="T66" s="472">
        <f>IF(Q66&lt;&gt;"",Q66*R66*S66,"")</f>
        <v>3250</v>
      </c>
      <c r="U66" s="378">
        <f>IF(Q66&lt;&gt;"",K66-T66,"")</f>
        <v>1000</v>
      </c>
      <c r="V66" s="379">
        <f>IF(Q66&lt;&gt;"",0%,"")</f>
        <v>0</v>
      </c>
      <c r="W66" s="380">
        <f>IF(Q66&lt;&gt;"",V66*U66,"")</f>
        <v>0</v>
      </c>
      <c r="X66" s="380">
        <f>IF(Q66&lt;&gt;"",W66+T66,"")</f>
        <v>3250</v>
      </c>
      <c r="Y66" s="381">
        <f t="shared" si="90"/>
        <v>4358.831707468622</v>
      </c>
      <c r="Z66" s="382">
        <f>IF(Q66&lt;&gt;"", IFERROR(U66/K66, 0), 0)</f>
        <v>0.23529411764705882</v>
      </c>
      <c r="AA66" s="383">
        <f>IFERROR(T66/$T$69, "")</f>
        <v>0.17615176151761516</v>
      </c>
      <c r="AG66" s="310" t="s">
        <v>52</v>
      </c>
      <c r="AN66" s="518">
        <f t="shared" si="2"/>
        <v>0</v>
      </c>
      <c r="AO66" s="519">
        <v>3250</v>
      </c>
      <c r="AP66" s="310" t="s">
        <v>491</v>
      </c>
    </row>
    <row r="67" spans="1:42" ht="80.099999999999994" customHeight="1" x14ac:dyDescent="0.4">
      <c r="A67" s="334">
        <v>52</v>
      </c>
      <c r="B67" s="353" t="s">
        <v>203</v>
      </c>
      <c r="C67" s="354" t="s">
        <v>134</v>
      </c>
      <c r="D67" s="334" t="s">
        <v>157</v>
      </c>
      <c r="E67" s="334" t="s">
        <v>154</v>
      </c>
      <c r="F67" s="486" t="s">
        <v>313</v>
      </c>
      <c r="G67" s="457" t="s">
        <v>197</v>
      </c>
      <c r="H67" s="411">
        <v>1</v>
      </c>
      <c r="I67" s="411">
        <v>8</v>
      </c>
      <c r="J67" s="393">
        <v>850</v>
      </c>
      <c r="K67" s="372">
        <f>IF(F67&lt;&gt;"",H67*I67*J67,"")</f>
        <v>6800</v>
      </c>
      <c r="L67" s="372">
        <f>IF(K67&lt;&gt;"",IF(D67="INTERNO",0,K67*$L$14),"")</f>
        <v>510</v>
      </c>
      <c r="M67" s="372">
        <f>IF(K67&lt;&gt;"",IF(E67="FAT.OGGI",SUM(K67:L67)*(1/(1-$M$14)-1),L67*(1/(1-$M$14)-1)),0)</f>
        <v>1774.1307319497955</v>
      </c>
      <c r="N67" s="373">
        <f>SUM(K67:M67)</f>
        <v>9084.1307319497955</v>
      </c>
      <c r="O67" s="421"/>
      <c r="Q67" s="374">
        <f t="shared" si="89"/>
        <v>1</v>
      </c>
      <c r="R67" s="375">
        <f t="shared" si="89"/>
        <v>8</v>
      </c>
      <c r="S67" s="376">
        <v>650</v>
      </c>
      <c r="T67" s="487">
        <f>IF(Q67&lt;&gt;"",Q67*R67*S67,"")</f>
        <v>5200</v>
      </c>
      <c r="U67" s="378">
        <f>IF(Q67&lt;&gt;"",K67-T67,"")</f>
        <v>1600</v>
      </c>
      <c r="V67" s="379">
        <f>IF(Q67&lt;&gt;"",0%,"")</f>
        <v>0</v>
      </c>
      <c r="W67" s="380">
        <f>IF(Q67&lt;&gt;"",V67*U67,"")</f>
        <v>0</v>
      </c>
      <c r="X67" s="380">
        <f>IF(Q67&lt;&gt;"",W67+T67,"")</f>
        <v>5200</v>
      </c>
      <c r="Y67" s="381">
        <f t="shared" si="90"/>
        <v>6974.1307319497955</v>
      </c>
      <c r="Z67" s="382">
        <f>IF(Q67&lt;&gt;"", IFERROR(U67/K67, 0), 0)</f>
        <v>0.23529411764705882</v>
      </c>
      <c r="AA67" s="383">
        <f>IFERROR(T67/$T$69, "")</f>
        <v>0.28184281842818426</v>
      </c>
      <c r="AG67" s="310" t="s">
        <v>52</v>
      </c>
      <c r="AN67" s="518">
        <f t="shared" si="2"/>
        <v>0</v>
      </c>
      <c r="AO67" s="519">
        <v>5200</v>
      </c>
      <c r="AP67" s="310" t="s">
        <v>461</v>
      </c>
    </row>
    <row r="68" spans="1:42" ht="80.099999999999994" customHeight="1" x14ac:dyDescent="0.4">
      <c r="A68" s="334">
        <v>53</v>
      </c>
      <c r="B68" s="353" t="s">
        <v>204</v>
      </c>
      <c r="C68" s="354" t="s">
        <v>134</v>
      </c>
      <c r="D68" s="334" t="s">
        <v>157</v>
      </c>
      <c r="E68" s="334" t="s">
        <v>154</v>
      </c>
      <c r="F68" s="486" t="s">
        <v>352</v>
      </c>
      <c r="G68" s="457" t="s">
        <v>220</v>
      </c>
      <c r="H68" s="411">
        <v>2</v>
      </c>
      <c r="I68" s="411">
        <v>5</v>
      </c>
      <c r="J68" s="393">
        <v>750</v>
      </c>
      <c r="K68" s="372">
        <f>IF(F68&lt;&gt;"",H68*I68*J68,"")</f>
        <v>7500</v>
      </c>
      <c r="L68" s="372">
        <f>IF(K68&lt;&gt;"",IF(D68="INTERNO",0,K68*$L$14),"")</f>
        <v>562.5</v>
      </c>
      <c r="M68" s="372">
        <f>IF(K68&lt;&gt;"",IF(E68="FAT.OGGI",SUM(K68:L68)*(1/(1-$M$14)-1),L68*(1/(1-$M$14)-1)),0)</f>
        <v>1956.7618367093332</v>
      </c>
      <c r="N68" s="373">
        <f>SUM(K68:M68)</f>
        <v>10019.261836709333</v>
      </c>
      <c r="O68" s="421"/>
      <c r="Q68" s="395">
        <v>1</v>
      </c>
      <c r="R68" s="396">
        <v>6</v>
      </c>
      <c r="S68" s="397">
        <v>650</v>
      </c>
      <c r="T68" s="488">
        <v>0</v>
      </c>
      <c r="U68" s="399">
        <f>IF(Q68&lt;&gt;"",K68-T68,"")</f>
        <v>7500</v>
      </c>
      <c r="V68" s="400">
        <f>IF(Q68&lt;&gt;"",0%,"")</f>
        <v>0</v>
      </c>
      <c r="W68" s="401">
        <f>IF(Q68&lt;&gt;"",V68*U68,"")</f>
        <v>0</v>
      </c>
      <c r="X68" s="401">
        <f>IF(Q68&lt;&gt;"",W68+T68,"")</f>
        <v>0</v>
      </c>
      <c r="Y68" s="402">
        <f t="shared" si="90"/>
        <v>1956.7618367093332</v>
      </c>
      <c r="Z68" s="382">
        <f>IF(Q68&lt;&gt;"", IFERROR(U68/K68, 0), 0)</f>
        <v>1</v>
      </c>
      <c r="AA68" s="383">
        <f>IFERROR(T68/$T$69, "")</f>
        <v>0</v>
      </c>
      <c r="AG68" s="310" t="s">
        <v>52</v>
      </c>
      <c r="AN68" s="518">
        <f t="shared" si="2"/>
        <v>0</v>
      </c>
      <c r="AO68" s="519"/>
    </row>
    <row r="69" spans="1:42" ht="35.1" customHeight="1" thickBot="1" x14ac:dyDescent="0.5">
      <c r="A69" s="334">
        <v>54</v>
      </c>
      <c r="B69" s="353"/>
      <c r="C69" s="354" t="s">
        <v>142</v>
      </c>
      <c r="D69" s="334"/>
      <c r="E69" s="334"/>
      <c r="F69" s="643" t="s">
        <v>198</v>
      </c>
      <c r="G69" s="644"/>
      <c r="H69" s="644"/>
      <c r="I69" s="644"/>
      <c r="J69" s="644"/>
      <c r="K69" s="446">
        <f>SUM(K64:K68)</f>
        <v>30450</v>
      </c>
      <c r="L69" s="447">
        <f>SUM(L64:L68)</f>
        <v>2283.75</v>
      </c>
      <c r="M69" s="447">
        <f>SUM(M64:M68)</f>
        <v>7944.4530570398929</v>
      </c>
      <c r="N69" s="448">
        <f>SUM(N64:N68)</f>
        <v>40678.203057039893</v>
      </c>
      <c r="O69" s="426"/>
      <c r="Q69" s="645" t="s">
        <v>198</v>
      </c>
      <c r="R69" s="646"/>
      <c r="S69" s="646"/>
      <c r="T69" s="405">
        <f>SUM(T64:T68)</f>
        <v>18450</v>
      </c>
      <c r="U69" s="406">
        <f>SUM(U64:U68)</f>
        <v>12000</v>
      </c>
      <c r="V69" s="407"/>
      <c r="W69" s="407"/>
      <c r="X69" s="408">
        <f>SUM(X64:X68)</f>
        <v>18450</v>
      </c>
      <c r="Y69" s="409">
        <f t="shared" si="90"/>
        <v>26394.453057039893</v>
      </c>
      <c r="AN69" s="518"/>
      <c r="AO69" s="519"/>
    </row>
    <row r="70" spans="1:42" ht="35.1" customHeight="1" thickBot="1" x14ac:dyDescent="0.5">
      <c r="A70" s="334">
        <v>55</v>
      </c>
      <c r="B70" s="353">
        <v>7</v>
      </c>
      <c r="C70" s="354" t="s">
        <v>128</v>
      </c>
      <c r="D70" s="334"/>
      <c r="E70" s="334"/>
      <c r="F70" s="637" t="s">
        <v>225</v>
      </c>
      <c r="G70" s="638"/>
      <c r="H70" s="638"/>
      <c r="I70" s="638"/>
      <c r="J70" s="638"/>
      <c r="K70" s="638"/>
      <c r="L70" s="638"/>
      <c r="M70" s="638"/>
      <c r="N70" s="639"/>
      <c r="O70" s="426"/>
      <c r="Q70" s="640" t="str">
        <f>IF(F70&lt;&gt;"",F70,"")</f>
        <v>Itens complementares diversos</v>
      </c>
      <c r="R70" s="641"/>
      <c r="S70" s="641"/>
      <c r="T70" s="641"/>
      <c r="U70" s="641"/>
      <c r="V70" s="641"/>
      <c r="W70" s="641"/>
      <c r="X70" s="641"/>
      <c r="Y70" s="642"/>
      <c r="AN70" s="518"/>
      <c r="AO70" s="519"/>
    </row>
    <row r="71" spans="1:42" ht="35.1" customHeight="1" x14ac:dyDescent="0.45">
      <c r="A71" s="334">
        <v>56</v>
      </c>
      <c r="B71" s="353" t="s">
        <v>259</v>
      </c>
      <c r="C71" s="354" t="s">
        <v>129</v>
      </c>
      <c r="D71" s="334"/>
      <c r="E71" s="334"/>
      <c r="F71" s="633" t="s">
        <v>279</v>
      </c>
      <c r="G71" s="634"/>
      <c r="H71" s="634"/>
      <c r="I71" s="634"/>
      <c r="J71" s="634"/>
      <c r="K71" s="635"/>
      <c r="L71" s="356" t="s">
        <v>131</v>
      </c>
      <c r="M71" s="357" t="s">
        <v>132</v>
      </c>
      <c r="N71" s="358" t="s">
        <v>74</v>
      </c>
      <c r="O71" s="426"/>
      <c r="Q71" s="633" t="str">
        <f>IF(F71&lt;&gt;"",F71,"")</f>
        <v>Diversos - Carol</v>
      </c>
      <c r="R71" s="634"/>
      <c r="S71" s="634"/>
      <c r="T71" s="634"/>
      <c r="U71" s="634"/>
      <c r="V71" s="634"/>
      <c r="W71" s="634"/>
      <c r="X71" s="634"/>
      <c r="Y71" s="636"/>
      <c r="Z71" s="359" t="s">
        <v>133</v>
      </c>
      <c r="AA71" s="360" t="s">
        <v>75</v>
      </c>
      <c r="AN71" s="518"/>
      <c r="AO71" s="519"/>
    </row>
    <row r="72" spans="1:42" ht="80.099999999999994" customHeight="1" x14ac:dyDescent="0.4">
      <c r="A72" s="334">
        <v>57</v>
      </c>
      <c r="B72" s="353" t="s">
        <v>260</v>
      </c>
      <c r="C72" s="354" t="s">
        <v>134</v>
      </c>
      <c r="D72" s="334" t="s">
        <v>157</v>
      </c>
      <c r="E72" s="334" t="s">
        <v>154</v>
      </c>
      <c r="F72" s="469" t="s">
        <v>205</v>
      </c>
      <c r="G72" s="470" t="s">
        <v>246</v>
      </c>
      <c r="H72" s="450">
        <v>13</v>
      </c>
      <c r="I72" s="450">
        <v>6</v>
      </c>
      <c r="J72" s="393">
        <v>85</v>
      </c>
      <c r="K72" s="372">
        <f t="shared" ref="K72:K76" si="91">IF(F72&lt;&gt;"",H72*I72*J72,"")</f>
        <v>6630</v>
      </c>
      <c r="L72" s="372">
        <f t="shared" ref="L72:L76" si="92">IF(K72&lt;&gt;"",IF(D72="INTERNO",0,K72*$L$14),"")</f>
        <v>497.25</v>
      </c>
      <c r="M72" s="372">
        <f t="shared" ref="M72:M76" si="93">IF(K72&lt;&gt;"",IF(E72="FAT.OGGI",SUM(K72:L72)*(1/(1-$M$14)-1),L72*(1/(1-$M$14)-1)),0)</f>
        <v>1729.7774636510505</v>
      </c>
      <c r="N72" s="373">
        <f t="shared" ref="N72:N76" si="94">SUM(K72:M72)</f>
        <v>8857.0274636510512</v>
      </c>
      <c r="O72" s="451"/>
      <c r="Q72" s="374">
        <f t="shared" ref="Q72:R76" si="95">IF(H72&lt;&gt;"",H72,"")</f>
        <v>13</v>
      </c>
      <c r="R72" s="375">
        <f t="shared" si="95"/>
        <v>6</v>
      </c>
      <c r="S72" s="376">
        <v>0</v>
      </c>
      <c r="T72" s="376">
        <f t="shared" ref="T72:T74" si="96">IF(Q72&lt;&gt;"",Q72*R72*S72,"")</f>
        <v>0</v>
      </c>
      <c r="U72" s="378">
        <f t="shared" ref="U72:U76" si="97">IF(Q72&lt;&gt;"",K72-T72,"")</f>
        <v>6630</v>
      </c>
      <c r="V72" s="379">
        <f t="shared" ref="V72:V76" si="98">IF(Q72&lt;&gt;"",0%,"")</f>
        <v>0</v>
      </c>
      <c r="W72" s="380">
        <f t="shared" ref="W72:W76" si="99">IF(Q72&lt;&gt;"",V72*U72,"")</f>
        <v>0</v>
      </c>
      <c r="X72" s="380">
        <f t="shared" ref="X72:X76" si="100">IF(Q72&lt;&gt;"",W72+T72,"")</f>
        <v>0</v>
      </c>
      <c r="Y72" s="381">
        <f t="shared" ref="Y72:Y77" si="101">IF(Q72&lt;&gt;"",X72+M72,"")</f>
        <v>1729.7774636510505</v>
      </c>
      <c r="Z72" s="382">
        <f t="shared" ref="Z72:Z76" si="102">IF(Q72&lt;&gt;"", IFERROR(U72/K72, 0), 0)</f>
        <v>1</v>
      </c>
      <c r="AA72" s="383">
        <f>IFERROR(T72/$T$77, "")</f>
        <v>0</v>
      </c>
      <c r="AN72" s="518">
        <f t="shared" si="2"/>
        <v>0</v>
      </c>
      <c r="AO72" s="519"/>
    </row>
    <row r="73" spans="1:42" ht="80.099999999999994" customHeight="1" x14ac:dyDescent="0.4">
      <c r="A73" s="334">
        <v>58</v>
      </c>
      <c r="B73" s="353" t="s">
        <v>261</v>
      </c>
      <c r="C73" s="354" t="s">
        <v>134</v>
      </c>
      <c r="D73" s="334" t="s">
        <v>157</v>
      </c>
      <c r="E73" s="334" t="s">
        <v>154</v>
      </c>
      <c r="F73" s="485" t="s">
        <v>206</v>
      </c>
      <c r="G73" s="457" t="s">
        <v>318</v>
      </c>
      <c r="H73" s="411">
        <v>1</v>
      </c>
      <c r="I73" s="411">
        <v>1</v>
      </c>
      <c r="J73" s="393">
        <v>3200</v>
      </c>
      <c r="K73" s="372">
        <f t="shared" si="91"/>
        <v>3200</v>
      </c>
      <c r="L73" s="372">
        <f t="shared" si="92"/>
        <v>240</v>
      </c>
      <c r="M73" s="372">
        <f t="shared" si="93"/>
        <v>834.8850503293155</v>
      </c>
      <c r="N73" s="373">
        <f t="shared" si="94"/>
        <v>4274.8850503293152</v>
      </c>
      <c r="O73" s="421"/>
      <c r="Q73" s="374">
        <v>1</v>
      </c>
      <c r="R73" s="375">
        <v>1</v>
      </c>
      <c r="S73" s="489">
        <v>3000</v>
      </c>
      <c r="T73" s="472">
        <f t="shared" si="96"/>
        <v>3000</v>
      </c>
      <c r="U73" s="378">
        <f t="shared" si="97"/>
        <v>200</v>
      </c>
      <c r="V73" s="379">
        <f t="shared" si="98"/>
        <v>0</v>
      </c>
      <c r="W73" s="380">
        <f t="shared" si="99"/>
        <v>0</v>
      </c>
      <c r="X73" s="380">
        <f t="shared" si="100"/>
        <v>3000</v>
      </c>
      <c r="Y73" s="381">
        <f t="shared" si="101"/>
        <v>3834.8850503293156</v>
      </c>
      <c r="Z73" s="382">
        <f t="shared" si="102"/>
        <v>6.25E-2</v>
      </c>
      <c r="AA73" s="383">
        <f>IFERROR(T73/$T$77, "")</f>
        <v>4.6796017097392804E-2</v>
      </c>
      <c r="AG73" s="310" t="s">
        <v>344</v>
      </c>
      <c r="AN73" s="518">
        <f t="shared" si="2"/>
        <v>0</v>
      </c>
      <c r="AO73" s="519">
        <v>3000</v>
      </c>
      <c r="AP73" s="310" t="s">
        <v>493</v>
      </c>
    </row>
    <row r="74" spans="1:42" ht="80.099999999999994" customHeight="1" x14ac:dyDescent="0.4">
      <c r="A74" s="334">
        <v>59</v>
      </c>
      <c r="B74" s="353" t="s">
        <v>262</v>
      </c>
      <c r="C74" s="354" t="s">
        <v>134</v>
      </c>
      <c r="D74" s="334" t="s">
        <v>157</v>
      </c>
      <c r="E74" s="334" t="s">
        <v>154</v>
      </c>
      <c r="F74" s="485" t="s">
        <v>207</v>
      </c>
      <c r="G74" s="457" t="s">
        <v>208</v>
      </c>
      <c r="H74" s="411">
        <v>1</v>
      </c>
      <c r="I74" s="411">
        <v>1</v>
      </c>
      <c r="J74" s="393">
        <v>2944.72</v>
      </c>
      <c r="K74" s="372">
        <f t="shared" si="91"/>
        <v>2944.72</v>
      </c>
      <c r="L74" s="372">
        <f t="shared" si="92"/>
        <v>220.85399999999998</v>
      </c>
      <c r="M74" s="372">
        <f t="shared" si="93"/>
        <v>768.28209543929427</v>
      </c>
      <c r="N74" s="373">
        <f t="shared" si="94"/>
        <v>3933.8560954392938</v>
      </c>
      <c r="O74" s="421"/>
      <c r="Q74" s="374">
        <f t="shared" si="95"/>
        <v>1</v>
      </c>
      <c r="R74" s="375">
        <f t="shared" si="95"/>
        <v>1</v>
      </c>
      <c r="S74" s="489">
        <v>3106.12</v>
      </c>
      <c r="T74" s="452">
        <f t="shared" si="96"/>
        <v>3106.12</v>
      </c>
      <c r="U74" s="378">
        <f t="shared" si="97"/>
        <v>-161.40000000000009</v>
      </c>
      <c r="V74" s="379">
        <f t="shared" si="98"/>
        <v>0</v>
      </c>
      <c r="W74" s="380">
        <f t="shared" si="99"/>
        <v>0</v>
      </c>
      <c r="X74" s="380">
        <f t="shared" si="100"/>
        <v>3106.12</v>
      </c>
      <c r="Y74" s="381">
        <f t="shared" si="101"/>
        <v>3874.402095439294</v>
      </c>
      <c r="Z74" s="382">
        <f t="shared" si="102"/>
        <v>-5.4809964954223189E-2</v>
      </c>
      <c r="AA74" s="383">
        <f>IFERROR(T74/$T$77, "")</f>
        <v>4.845134820885124E-2</v>
      </c>
      <c r="AG74" s="310" t="s">
        <v>344</v>
      </c>
      <c r="AN74" s="518">
        <f t="shared" si="2"/>
        <v>0</v>
      </c>
      <c r="AO74" s="519">
        <v>3106.12</v>
      </c>
      <c r="AP74" s="310" t="s">
        <v>480</v>
      </c>
    </row>
    <row r="75" spans="1:42" ht="80.099999999999994" customHeight="1" x14ac:dyDescent="0.4">
      <c r="A75" s="334">
        <v>60</v>
      </c>
      <c r="B75" s="353" t="s">
        <v>263</v>
      </c>
      <c r="C75" s="354" t="s">
        <v>134</v>
      </c>
      <c r="D75" s="334" t="s">
        <v>157</v>
      </c>
      <c r="E75" s="334" t="s">
        <v>154</v>
      </c>
      <c r="F75" s="469" t="s">
        <v>209</v>
      </c>
      <c r="G75" s="457" t="s">
        <v>265</v>
      </c>
      <c r="H75" s="450">
        <v>8</v>
      </c>
      <c r="I75" s="450">
        <v>2</v>
      </c>
      <c r="J75" s="393">
        <v>550</v>
      </c>
      <c r="K75" s="372">
        <f t="shared" si="91"/>
        <v>8800</v>
      </c>
      <c r="L75" s="372">
        <f t="shared" si="92"/>
        <v>660</v>
      </c>
      <c r="M75" s="372">
        <f t="shared" si="93"/>
        <v>2295.9338884056178</v>
      </c>
      <c r="N75" s="373">
        <f t="shared" si="94"/>
        <v>11755.933888405618</v>
      </c>
      <c r="O75" s="421"/>
      <c r="Q75" s="374">
        <f t="shared" si="95"/>
        <v>8</v>
      </c>
      <c r="R75" s="375">
        <f t="shared" si="95"/>
        <v>2</v>
      </c>
      <c r="S75" s="376">
        <v>430</v>
      </c>
      <c r="T75" s="487">
        <v>8231</v>
      </c>
      <c r="U75" s="378">
        <f t="shared" si="97"/>
        <v>569</v>
      </c>
      <c r="V75" s="379">
        <f t="shared" si="98"/>
        <v>0</v>
      </c>
      <c r="W75" s="380">
        <f t="shared" si="99"/>
        <v>0</v>
      </c>
      <c r="X75" s="380">
        <f t="shared" si="100"/>
        <v>8231</v>
      </c>
      <c r="Y75" s="381">
        <f t="shared" si="101"/>
        <v>10526.933888405618</v>
      </c>
      <c r="Z75" s="382">
        <f t="shared" si="102"/>
        <v>6.4659090909090902E-2</v>
      </c>
      <c r="AA75" s="383">
        <f>IFERROR(T75/$T$77, "")</f>
        <v>0.12839267224288006</v>
      </c>
      <c r="AG75" s="310" t="s">
        <v>344</v>
      </c>
      <c r="AN75" s="518">
        <f t="shared" si="2"/>
        <v>0</v>
      </c>
      <c r="AO75" s="519">
        <f>1720+3255+3256</f>
        <v>8231</v>
      </c>
      <c r="AP75" s="310" t="s">
        <v>467</v>
      </c>
    </row>
    <row r="76" spans="1:42" ht="80.099999999999994" customHeight="1" thickBot="1" x14ac:dyDescent="0.45">
      <c r="A76" s="334">
        <v>61</v>
      </c>
      <c r="B76" s="353" t="s">
        <v>322</v>
      </c>
      <c r="C76" s="354" t="s">
        <v>134</v>
      </c>
      <c r="D76" s="334" t="s">
        <v>157</v>
      </c>
      <c r="E76" s="334" t="s">
        <v>154</v>
      </c>
      <c r="F76" s="469" t="s">
        <v>210</v>
      </c>
      <c r="G76" s="470" t="s">
        <v>211</v>
      </c>
      <c r="H76" s="450">
        <v>1</v>
      </c>
      <c r="I76" s="450">
        <v>1</v>
      </c>
      <c r="J76" s="393">
        <v>6500</v>
      </c>
      <c r="K76" s="393">
        <f t="shared" si="91"/>
        <v>6500</v>
      </c>
      <c r="L76" s="393">
        <f t="shared" si="92"/>
        <v>487.5</v>
      </c>
      <c r="M76" s="393">
        <f t="shared" si="93"/>
        <v>1695.8602584814223</v>
      </c>
      <c r="N76" s="394">
        <f t="shared" si="94"/>
        <v>8683.3602584814216</v>
      </c>
      <c r="O76" s="421"/>
      <c r="Q76" s="395">
        <f t="shared" si="95"/>
        <v>1</v>
      </c>
      <c r="R76" s="396">
        <f t="shared" si="95"/>
        <v>1</v>
      </c>
      <c r="S76" s="397">
        <f>1911.87+149.73+327.5+382+100+1200+811.08+531.09+992.45+575.97+1281.63+603.53+1711.23+992.87+264.12+2238.63+15014.56+6573.58+2617.82</f>
        <v>38279.660000000003</v>
      </c>
      <c r="T76" s="397">
        <v>49770.9</v>
      </c>
      <c r="U76" s="399">
        <f t="shared" si="97"/>
        <v>-43270.9</v>
      </c>
      <c r="V76" s="400">
        <f t="shared" si="98"/>
        <v>0</v>
      </c>
      <c r="W76" s="401">
        <f t="shared" si="99"/>
        <v>0</v>
      </c>
      <c r="X76" s="401">
        <f t="shared" si="100"/>
        <v>49770.9</v>
      </c>
      <c r="Y76" s="402">
        <f t="shared" si="101"/>
        <v>51466.760258481423</v>
      </c>
      <c r="Z76" s="490">
        <f t="shared" si="102"/>
        <v>-6.657061538461539</v>
      </c>
      <c r="AA76" s="491">
        <f>IFERROR(T76/$T$77, "")</f>
        <v>0.77635996245087591</v>
      </c>
      <c r="AN76" s="518">
        <f t="shared" si="2"/>
        <v>0</v>
      </c>
      <c r="AO76" s="519">
        <f>'CUSTOS OP.'!G34</f>
        <v>49770.899999999994</v>
      </c>
    </row>
    <row r="77" spans="1:42" ht="35.1" customHeight="1" thickBot="1" x14ac:dyDescent="0.5">
      <c r="A77" s="334">
        <v>62</v>
      </c>
      <c r="B77" s="353"/>
      <c r="C77" s="354" t="s">
        <v>142</v>
      </c>
      <c r="D77" s="334"/>
      <c r="E77" s="334"/>
      <c r="F77" s="665" t="s">
        <v>143</v>
      </c>
      <c r="G77" s="666"/>
      <c r="H77" s="666"/>
      <c r="I77" s="666"/>
      <c r="J77" s="666"/>
      <c r="K77" s="447">
        <f>SUM(K72:K76)</f>
        <v>28074.720000000001</v>
      </c>
      <c r="L77" s="447">
        <f>SUM(L72:L76)</f>
        <v>2105.6040000000003</v>
      </c>
      <c r="M77" s="447">
        <f>SUM(M72:M76)</f>
        <v>7324.7387563067005</v>
      </c>
      <c r="N77" s="492">
        <f>SUM(N72:N76)</f>
        <v>37505.062756306696</v>
      </c>
      <c r="Q77" s="665" t="s">
        <v>143</v>
      </c>
      <c r="R77" s="666"/>
      <c r="S77" s="666"/>
      <c r="T77" s="493">
        <f>SUM(T72:T76)</f>
        <v>64108.020000000004</v>
      </c>
      <c r="U77" s="494">
        <f>SUM(U72:U76)</f>
        <v>-36033.300000000003</v>
      </c>
      <c r="V77" s="495"/>
      <c r="W77" s="495"/>
      <c r="X77" s="496">
        <f>SUM(X72:X76)</f>
        <v>64108.020000000004</v>
      </c>
      <c r="Y77" s="497">
        <f t="shared" si="101"/>
        <v>71432.758756306706</v>
      </c>
      <c r="Z77" s="498" t="s">
        <v>213</v>
      </c>
      <c r="AA77" s="499" t="s">
        <v>214</v>
      </c>
      <c r="AN77" s="518"/>
      <c r="AO77" s="519"/>
    </row>
    <row r="78" spans="1:42" ht="35.1" customHeight="1" thickBot="1" x14ac:dyDescent="0.5">
      <c r="A78" s="334">
        <v>63</v>
      </c>
      <c r="B78" s="500"/>
      <c r="C78" s="354" t="s">
        <v>212</v>
      </c>
      <c r="D78" s="334"/>
      <c r="E78" s="334"/>
      <c r="F78" s="134" t="s">
        <v>232</v>
      </c>
      <c r="G78" s="135"/>
      <c r="H78" s="136"/>
      <c r="I78" s="136"/>
      <c r="J78" s="137"/>
      <c r="K78" s="138">
        <f>SUM(K17:K21)+SUM(K25:K25)+SUM(K28:K36)+SUM(K40:K43)+SUM(K47:K60)+SUM(K64:K68)+SUM(K72:K76)</f>
        <v>409091.1</v>
      </c>
      <c r="L78" s="138">
        <f>SUM(L17:L21)+SUM(L25:L25)+SUM(L28:L36)+SUM(L40:L43)+SUM(L47:L60)+SUM(L64:L68)+SUM(L72:L76)</f>
        <v>27223.329749999997</v>
      </c>
      <c r="M78" s="138">
        <f>SUM(M17:M21)+SUM(M25:M25)+SUM(M28:M36)+SUM(M40:M43)+SUM(M47:M60)+SUM(M64:M68)+SUM(M72:M76)</f>
        <v>105893.13797710328</v>
      </c>
      <c r="N78" s="139">
        <f>SUM(N17:N21)+SUM(N25:N25)+SUM(N28:N36)+SUM(N40:N43)+SUM(N47:N60)+SUM(N64:N68)+SUM(N72:N76)</f>
        <v>542207.56772710336</v>
      </c>
      <c r="Q78" s="140" t="s">
        <v>42</v>
      </c>
      <c r="R78" s="136"/>
      <c r="S78" s="137"/>
      <c r="T78" s="138">
        <f>SUM(T17:T21)+SUM(T25:T25)+SUM(T28:T36)+SUM(T40:T43)+SUM(T47:T60)+SUM(T64:T68)+SUM(T72:T76)</f>
        <v>385623.05</v>
      </c>
      <c r="U78" s="138">
        <f>SUM(U17:U21)+SUM(U25:U25)+SUM(U28:U36)+SUM(U40:U43)+SUM(U47:U60)+SUM(U64:U68)+SUM(U72:U76)</f>
        <v>23468.050000000003</v>
      </c>
      <c r="V78" s="137"/>
      <c r="W78" s="137"/>
      <c r="X78" s="138">
        <f>SUM(X72:X76,X64:X68,X47:X60,X40:X43,X28:X36,X25,X17:X21)</f>
        <v>385623.05</v>
      </c>
      <c r="Y78" s="138">
        <f>SUM(Y17:Y21)+SUM(Y25:Y25)+SUM(Y28:Y36)+SUM(Y40:Y43)+SUM(Y47:Y60)+SUM(Y64:Y68)+SUM(Y72:Y76)</f>
        <v>491516.18797710328</v>
      </c>
      <c r="Z78" s="501" t="s">
        <v>213</v>
      </c>
      <c r="AA78" s="502" t="s">
        <v>214</v>
      </c>
      <c r="AN78" s="518">
        <f>SUM(AN17:AN76)</f>
        <v>0</v>
      </c>
      <c r="AO78" s="519">
        <f>SUM(AO17:AO76)</f>
        <v>385623.05000000005</v>
      </c>
    </row>
    <row r="81" spans="20:42" x14ac:dyDescent="0.4">
      <c r="T81" s="503"/>
      <c r="AO81" s="616"/>
      <c r="AP81" s="617" t="s">
        <v>509</v>
      </c>
    </row>
    <row r="82" spans="20:42" x14ac:dyDescent="0.4">
      <c r="AO82" s="618">
        <f>X78</f>
        <v>385623.05</v>
      </c>
      <c r="AP82" s="617" t="s">
        <v>510</v>
      </c>
    </row>
    <row r="83" spans="20:42" x14ac:dyDescent="0.4">
      <c r="AO83" s="618">
        <f>N78-X78</f>
        <v>156584.51772710338</v>
      </c>
      <c r="AP83" s="617" t="s">
        <v>447</v>
      </c>
    </row>
    <row r="84" spans="20:42" x14ac:dyDescent="0.4">
      <c r="AO84" s="619">
        <f>AO83*100%/N78</f>
        <v>0.28879072710750764</v>
      </c>
      <c r="AP84" s="620"/>
    </row>
  </sheetData>
  <autoFilter ref="A17:AP78" xr:uid="{75BBCD24-E312-47BA-BF4A-006648191B26}"/>
  <mergeCells count="49">
    <mergeCell ref="F61:J61"/>
    <mergeCell ref="Q61:S61"/>
    <mergeCell ref="F70:N70"/>
    <mergeCell ref="Q70:Y70"/>
    <mergeCell ref="F71:K71"/>
    <mergeCell ref="Q71:Y71"/>
    <mergeCell ref="F77:J77"/>
    <mergeCell ref="Q77:S77"/>
    <mergeCell ref="F62:N62"/>
    <mergeCell ref="Q62:Y62"/>
    <mergeCell ref="F63:K63"/>
    <mergeCell ref="Q63:Y63"/>
    <mergeCell ref="F69:J69"/>
    <mergeCell ref="Q69:S69"/>
    <mergeCell ref="AK12:AL12"/>
    <mergeCell ref="F1:G1"/>
    <mergeCell ref="F2:G2"/>
    <mergeCell ref="Q12:T12"/>
    <mergeCell ref="U12:X12"/>
    <mergeCell ref="AC12:AE12"/>
    <mergeCell ref="AG12:AH12"/>
    <mergeCell ref="F23:N23"/>
    <mergeCell ref="Q23:Y23"/>
    <mergeCell ref="F24:K24"/>
    <mergeCell ref="Q24:Y24"/>
    <mergeCell ref="F26:N26"/>
    <mergeCell ref="Q26:Y26"/>
    <mergeCell ref="F15:N15"/>
    <mergeCell ref="Q15:Y15"/>
    <mergeCell ref="F16:K16"/>
    <mergeCell ref="Q16:Y16"/>
    <mergeCell ref="F22:J22"/>
    <mergeCell ref="Q22:S22"/>
    <mergeCell ref="AN15:AO15"/>
    <mergeCell ref="AN16:AO16"/>
    <mergeCell ref="F46:K46"/>
    <mergeCell ref="Q46:Y46"/>
    <mergeCell ref="F45:N45"/>
    <mergeCell ref="Q45:Y45"/>
    <mergeCell ref="F38:N38"/>
    <mergeCell ref="Q38:Y38"/>
    <mergeCell ref="F39:K39"/>
    <mergeCell ref="Q39:Y39"/>
    <mergeCell ref="F44:J44"/>
    <mergeCell ref="Q44:S44"/>
    <mergeCell ref="F27:K27"/>
    <mergeCell ref="Q27:Y27"/>
    <mergeCell ref="F37:J37"/>
    <mergeCell ref="Q37:S37"/>
  </mergeCells>
  <dataValidations count="3">
    <dataValidation type="list" allowBlank="1" showInputMessage="1" showErrorMessage="1" sqref="D17:D21 D25 D64:D68 D78 D28:D36 D40:D43 D72:D76 D47:D61" xr:uid="{78F26939-B90A-4DF9-8911-EF2383B7668D}">
      <formula1>"INTERNO,OPERACIONAL"</formula1>
    </dataValidation>
    <dataValidation type="list" allowBlank="1" showInputMessage="1" showErrorMessage="1" sqref="E17:E21 E25 E64:E68 E28:E36 E40:E43 E72:E76 E47:E61" xr:uid="{3245D219-22FF-43DD-8C3A-950C856C7067}">
      <formula1>"FAT.OGGI,FAT.CLIENTE"</formula1>
    </dataValidation>
    <dataValidation type="list" allowBlank="1" showInputMessage="1" showErrorMessage="1" sqref="E78" xr:uid="{86D37763-6153-4BB5-8FAF-572D1A13F636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06FD0-7770-4F23-A8CD-DBB01ECD77F6}">
  <sheetPr codeName="Planilha14">
    <pageSetUpPr autoPageBreaks="0"/>
  </sheetPr>
  <dimension ref="A1:AP33"/>
  <sheetViews>
    <sheetView showGridLines="0" topLeftCell="B1" zoomScale="50" zoomScaleNormal="50" workbookViewId="0">
      <pane ySplit="1" topLeftCell="A22" activePane="bottomLeft" state="frozen"/>
      <selection activeCell="N1" sqref="N1:N1048576"/>
      <selection pane="bottomLeft" activeCell="AP33" sqref="AO30:AP33"/>
    </sheetView>
  </sheetViews>
  <sheetFormatPr defaultColWidth="8.88671875" defaultRowHeight="21" x14ac:dyDescent="0.4"/>
  <cols>
    <col min="1" max="1" width="6.109375" style="306" hidden="1" customWidth="1"/>
    <col min="2" max="2" width="10.44140625" style="306" customWidth="1"/>
    <col min="3" max="4" width="7.88671875" style="306" hidden="1" customWidth="1"/>
    <col min="5" max="5" width="11" style="306" hidden="1" customWidth="1"/>
    <col min="6" max="6" width="33.5546875" style="306" customWidth="1"/>
    <col min="7" max="7" width="61.5546875" style="323" customWidth="1"/>
    <col min="8" max="9" width="7.44140625" style="309" hidden="1" customWidth="1"/>
    <col min="10" max="10" width="19.44140625" style="306" hidden="1" customWidth="1"/>
    <col min="11" max="11" width="23.88671875" style="306" customWidth="1"/>
    <col min="12" max="12" width="21.5546875" style="306" bestFit="1" customWidth="1"/>
    <col min="13" max="13" width="19.33203125" style="306" bestFit="1" customWidth="1"/>
    <col min="14" max="14" width="25.109375" style="306" customWidth="1"/>
    <col min="15" max="15" width="2.44140625" style="426" hidden="1" customWidth="1"/>
    <col min="16" max="16" width="2.44140625" style="306" hidden="1" customWidth="1"/>
    <col min="17" max="17" width="8.44140625" style="309" customWidth="1"/>
    <col min="18" max="18" width="8.44140625" style="309" hidden="1" customWidth="1"/>
    <col min="19" max="19" width="19.44140625" style="306" hidden="1" customWidth="1"/>
    <col min="20" max="20" width="26.88671875" style="306" customWidth="1"/>
    <col min="21" max="21" width="24.88671875" style="306" hidden="1" customWidth="1"/>
    <col min="22" max="22" width="9.88671875" style="306" hidden="1" customWidth="1"/>
    <col min="23" max="23" width="16.109375" style="306" hidden="1" customWidth="1"/>
    <col min="24" max="24" width="27.109375" style="306" customWidth="1"/>
    <col min="25" max="25" width="26.88671875" style="306" hidden="1" customWidth="1"/>
    <col min="26" max="26" width="20.88671875" style="306" hidden="1" customWidth="1"/>
    <col min="27" max="27" width="24.88671875" style="306" hidden="1" customWidth="1"/>
    <col min="28" max="28" width="38.109375" style="306" hidden="1" customWidth="1"/>
    <col min="29" max="29" width="14.109375" style="306" hidden="1" customWidth="1"/>
    <col min="30" max="30" width="7.88671875" style="306" hidden="1" customWidth="1"/>
    <col min="31" max="31" width="6.88671875" style="306" hidden="1" customWidth="1"/>
    <col min="32" max="32" width="1.109375" style="306" hidden="1" customWidth="1"/>
    <col min="33" max="33" width="14" style="306" hidden="1" customWidth="1"/>
    <col min="34" max="34" width="11.88671875" style="306" hidden="1" customWidth="1"/>
    <col min="35" max="35" width="6.109375" style="306" hidden="1" customWidth="1"/>
    <col min="36" max="36" width="12.88671875" style="306" hidden="1" customWidth="1"/>
    <col min="37" max="37" width="13.109375" style="306" hidden="1" customWidth="1"/>
    <col min="38" max="38" width="13.5546875" style="306" hidden="1" customWidth="1"/>
    <col min="39" max="39" width="0" style="306" hidden="1" customWidth="1"/>
    <col min="40" max="41" width="21.44140625" style="306" customWidth="1"/>
    <col min="42" max="42" width="8.88671875" style="310"/>
    <col min="43" max="16384" width="8.88671875" style="306"/>
  </cols>
  <sheetData>
    <row r="1" spans="1:41" ht="49.5" customHeight="1" x14ac:dyDescent="0.4">
      <c r="B1" s="307"/>
      <c r="C1" s="308"/>
      <c r="D1" s="308"/>
      <c r="F1" s="652" t="s">
        <v>112</v>
      </c>
      <c r="G1" s="652"/>
    </row>
    <row r="2" spans="1:41" ht="24.75" customHeight="1" x14ac:dyDescent="0.4">
      <c r="B2" s="309"/>
      <c r="D2" s="308"/>
      <c r="F2" s="653" t="s">
        <v>0</v>
      </c>
      <c r="G2" s="653"/>
    </row>
    <row r="3" spans="1:41" ht="22.2" x14ac:dyDescent="0.4">
      <c r="B3" s="311"/>
      <c r="F3" s="312"/>
      <c r="G3" s="313"/>
    </row>
    <row r="4" spans="1:41" ht="22.2" x14ac:dyDescent="0.4">
      <c r="F4" s="314" t="s">
        <v>121</v>
      </c>
      <c r="G4" s="315" t="s">
        <v>123</v>
      </c>
    </row>
    <row r="5" spans="1:41" ht="22.2" x14ac:dyDescent="0.4">
      <c r="F5" s="316" t="s">
        <v>120</v>
      </c>
      <c r="G5" s="317" t="s">
        <v>122</v>
      </c>
    </row>
    <row r="6" spans="1:41" ht="22.2" x14ac:dyDescent="0.4">
      <c r="D6" s="306" t="s">
        <v>99</v>
      </c>
      <c r="F6" s="316" t="s">
        <v>119</v>
      </c>
      <c r="G6" s="318" t="s">
        <v>124</v>
      </c>
    </row>
    <row r="7" spans="1:41" ht="21.75" customHeight="1" x14ac:dyDescent="0.4">
      <c r="F7" s="316" t="s">
        <v>118</v>
      </c>
      <c r="G7" s="318" t="s">
        <v>125</v>
      </c>
      <c r="J7" s="306" t="s">
        <v>111</v>
      </c>
    </row>
    <row r="8" spans="1:41" ht="44.4" x14ac:dyDescent="0.4">
      <c r="F8" s="316" t="s">
        <v>114</v>
      </c>
      <c r="G8" s="319" t="s">
        <v>147</v>
      </c>
    </row>
    <row r="9" spans="1:41" ht="22.2" x14ac:dyDescent="0.4">
      <c r="F9" s="316" t="s">
        <v>115</v>
      </c>
      <c r="G9" s="318" t="s">
        <v>113</v>
      </c>
      <c r="J9" s="306" t="s">
        <v>99</v>
      </c>
    </row>
    <row r="10" spans="1:41" ht="27" customHeight="1" x14ac:dyDescent="0.4">
      <c r="F10" s="316" t="s">
        <v>116</v>
      </c>
      <c r="G10" s="318" t="s">
        <v>126</v>
      </c>
    </row>
    <row r="11" spans="1:41" ht="22.8" hidden="1" thickBot="1" x14ac:dyDescent="0.45">
      <c r="F11" s="320" t="s">
        <v>117</v>
      </c>
      <c r="G11" s="321" t="s">
        <v>127</v>
      </c>
      <c r="H11" s="509" t="s">
        <v>267</v>
      </c>
      <c r="I11" s="510"/>
      <c r="J11" s="511"/>
      <c r="L11" s="503"/>
    </row>
    <row r="12" spans="1:41" ht="67.2" hidden="1" thickBot="1" x14ac:dyDescent="0.45">
      <c r="B12" s="322"/>
      <c r="M12" s="324"/>
      <c r="Q12" s="654" t="s">
        <v>1</v>
      </c>
      <c r="R12" s="655"/>
      <c r="S12" s="655"/>
      <c r="T12" s="656"/>
      <c r="U12" s="657" t="s">
        <v>2</v>
      </c>
      <c r="V12" s="658"/>
      <c r="W12" s="658"/>
      <c r="X12" s="659"/>
      <c r="Y12" s="325" t="s">
        <v>48</v>
      </c>
      <c r="Z12" s="326">
        <f>(1/(1-M14))-1</f>
        <v>0.24269914253759173</v>
      </c>
      <c r="AC12" s="660" t="s">
        <v>3</v>
      </c>
      <c r="AD12" s="661"/>
      <c r="AE12" s="662"/>
      <c r="AG12" s="663" t="s">
        <v>50</v>
      </c>
      <c r="AH12" s="664"/>
      <c r="AJ12" s="327" t="s">
        <v>52</v>
      </c>
      <c r="AK12" s="650" t="s">
        <v>51</v>
      </c>
      <c r="AL12" s="651"/>
    </row>
    <row r="13" spans="1:41" ht="21.6" thickBot="1" x14ac:dyDescent="0.45">
      <c r="A13" s="328" t="s">
        <v>4</v>
      </c>
      <c r="B13" s="329" t="s">
        <v>5</v>
      </c>
      <c r="C13" s="328" t="s">
        <v>6</v>
      </c>
      <c r="D13" s="328" t="s">
        <v>7</v>
      </c>
      <c r="E13" s="328" t="s">
        <v>8</v>
      </c>
      <c r="M13" s="330">
        <v>0.80469999999999997</v>
      </c>
    </row>
    <row r="14" spans="1:41" ht="45" thickBot="1" x14ac:dyDescent="0.45">
      <c r="A14" s="331">
        <v>0</v>
      </c>
      <c r="B14" s="332"/>
      <c r="C14" s="333"/>
      <c r="D14" s="334"/>
      <c r="E14" s="334"/>
      <c r="F14" s="335" t="s">
        <v>76</v>
      </c>
      <c r="G14" s="336" t="s">
        <v>77</v>
      </c>
      <c r="H14" s="337" t="s">
        <v>78</v>
      </c>
      <c r="I14" s="337" t="s">
        <v>79</v>
      </c>
      <c r="J14" s="338" t="s">
        <v>80</v>
      </c>
      <c r="K14" s="339" t="s">
        <v>9</v>
      </c>
      <c r="L14" s="512">
        <v>0.05</v>
      </c>
      <c r="M14" s="513">
        <f>1-M13</f>
        <v>0.19530000000000003</v>
      </c>
      <c r="N14" s="342" t="s">
        <v>74</v>
      </c>
      <c r="Q14" s="343" t="s">
        <v>81</v>
      </c>
      <c r="R14" s="344" t="s">
        <v>82</v>
      </c>
      <c r="S14" s="345" t="s">
        <v>83</v>
      </c>
      <c r="T14" s="346" t="s">
        <v>84</v>
      </c>
      <c r="U14" s="347" t="s">
        <v>85</v>
      </c>
      <c r="V14" s="348" t="s">
        <v>86</v>
      </c>
      <c r="W14" s="349" t="s">
        <v>87</v>
      </c>
      <c r="X14" s="349" t="s">
        <v>88</v>
      </c>
      <c r="Y14" s="350" t="s">
        <v>89</v>
      </c>
      <c r="Z14" s="351" t="s">
        <v>90</v>
      </c>
      <c r="AA14" s="352" t="s">
        <v>75</v>
      </c>
      <c r="AN14" s="365" t="s">
        <v>95</v>
      </c>
      <c r="AO14" s="366" t="s">
        <v>96</v>
      </c>
    </row>
    <row r="15" spans="1:41" ht="30" customHeight="1" thickBot="1" x14ac:dyDescent="0.5">
      <c r="A15" s="430">
        <v>1</v>
      </c>
      <c r="B15" s="353">
        <v>1</v>
      </c>
      <c r="C15" s="431" t="s">
        <v>128</v>
      </c>
      <c r="D15" s="430"/>
      <c r="E15" s="430"/>
      <c r="F15" s="640" t="s">
        <v>268</v>
      </c>
      <c r="G15" s="641"/>
      <c r="H15" s="641"/>
      <c r="I15" s="641"/>
      <c r="J15" s="641"/>
      <c r="K15" s="641"/>
      <c r="L15" s="641"/>
      <c r="M15" s="641"/>
      <c r="N15" s="669"/>
      <c r="Q15" s="637" t="str">
        <f>IF(F15&lt;&gt;"",F15,"")</f>
        <v>Operacional Extra - Opção 02 - Think Casa</v>
      </c>
      <c r="R15" s="638"/>
      <c r="S15" s="638"/>
      <c r="T15" s="638"/>
      <c r="U15" s="638"/>
      <c r="V15" s="638"/>
      <c r="W15" s="638"/>
      <c r="X15" s="638"/>
      <c r="Y15" s="639"/>
      <c r="AN15" s="629"/>
      <c r="AO15" s="630"/>
    </row>
    <row r="16" spans="1:41" ht="30" customHeight="1" thickBot="1" x14ac:dyDescent="0.5">
      <c r="A16" s="334">
        <v>2</v>
      </c>
      <c r="B16" s="353" t="s">
        <v>130</v>
      </c>
      <c r="C16" s="354" t="s">
        <v>129</v>
      </c>
      <c r="D16" s="334"/>
      <c r="E16" s="334"/>
      <c r="F16" s="633" t="s">
        <v>347</v>
      </c>
      <c r="G16" s="634"/>
      <c r="H16" s="634"/>
      <c r="I16" s="634"/>
      <c r="J16" s="634"/>
      <c r="K16" s="635"/>
      <c r="L16" s="356" t="s">
        <v>131</v>
      </c>
      <c r="M16" s="357" t="s">
        <v>132</v>
      </c>
      <c r="N16" s="514" t="s">
        <v>74</v>
      </c>
      <c r="Q16" s="633" t="str">
        <f>IF(F16&lt;&gt;"",F16,"")</f>
        <v>Operacional Extra - Opção 02 - Think Casa -  Shirlei</v>
      </c>
      <c r="R16" s="634"/>
      <c r="S16" s="634"/>
      <c r="T16" s="634"/>
      <c r="U16" s="634"/>
      <c r="V16" s="634"/>
      <c r="W16" s="634"/>
      <c r="X16" s="634"/>
      <c r="Y16" s="670"/>
      <c r="Z16" s="359" t="s">
        <v>133</v>
      </c>
      <c r="AA16" s="360" t="s">
        <v>75</v>
      </c>
      <c r="AC16" s="361" t="s">
        <v>91</v>
      </c>
      <c r="AD16" s="362" t="s">
        <v>92</v>
      </c>
      <c r="AE16" s="362" t="s">
        <v>32</v>
      </c>
      <c r="AG16" s="363" t="s">
        <v>93</v>
      </c>
      <c r="AH16" s="364" t="s">
        <v>94</v>
      </c>
      <c r="AK16" s="365" t="s">
        <v>95</v>
      </c>
      <c r="AL16" s="366" t="s">
        <v>96</v>
      </c>
      <c r="AN16" s="631"/>
      <c r="AO16" s="632"/>
    </row>
    <row r="17" spans="1:42" ht="60" customHeight="1" x14ac:dyDescent="0.4">
      <c r="A17" s="334">
        <v>3</v>
      </c>
      <c r="B17" s="353" t="s">
        <v>135</v>
      </c>
      <c r="C17" s="354" t="s">
        <v>134</v>
      </c>
      <c r="D17" s="334" t="s">
        <v>157</v>
      </c>
      <c r="E17" s="334" t="s">
        <v>145</v>
      </c>
      <c r="F17" s="410" t="s">
        <v>226</v>
      </c>
      <c r="G17" s="387" t="s">
        <v>272</v>
      </c>
      <c r="H17" s="369">
        <v>1</v>
      </c>
      <c r="I17" s="370">
        <v>1</v>
      </c>
      <c r="J17" s="516">
        <f>42*1300</f>
        <v>54600</v>
      </c>
      <c r="K17" s="372">
        <f t="shared" ref="K17:K26" si="0">IF(F17&lt;&gt;"",H17*I17*J17,"")</f>
        <v>54600</v>
      </c>
      <c r="L17" s="372">
        <f t="shared" ref="L17:L26" si="1">IF(K17&lt;&gt;"",IF(D17="INTERNO",0,K17*$L$14),"")</f>
        <v>2730</v>
      </c>
      <c r="M17" s="372">
        <f t="shared" ref="M17:M26" si="2">IF(K17&lt;&gt;"",IF(E17="FAT.OGGI",SUM(K17:L17)*(1/(1-$M$14)-1),L17*(1/(1-$M$14)-1)),0)</f>
        <v>662.56865912762544</v>
      </c>
      <c r="N17" s="373">
        <f t="shared" ref="N17:N26" si="3">SUM(K17:M17)</f>
        <v>57992.568659127624</v>
      </c>
      <c r="O17" s="421"/>
      <c r="Q17" s="374">
        <f t="shared" ref="Q17:Q26" si="4">IF(H17&lt;&gt;"",H17,"")</f>
        <v>1</v>
      </c>
      <c r="R17" s="416">
        <v>1</v>
      </c>
      <c r="S17" s="517">
        <v>33350</v>
      </c>
      <c r="T17" s="487">
        <v>40000</v>
      </c>
      <c r="U17" s="378">
        <f t="shared" ref="U17:U26" si="5">IF(Q17&lt;&gt;"",K17-T17,"")</f>
        <v>14600</v>
      </c>
      <c r="V17" s="379">
        <f t="shared" ref="V17:V26" si="6">IF(Q17&lt;&gt;"",0%,"")</f>
        <v>0</v>
      </c>
      <c r="W17" s="380">
        <f t="shared" ref="W17:W26" si="7">IF(Q17&lt;&gt;"",V17*U17,"")</f>
        <v>0</v>
      </c>
      <c r="X17" s="380">
        <f t="shared" ref="X17:X26" si="8">IF(Q17&lt;&gt;"",W17+T17,"")</f>
        <v>40000</v>
      </c>
      <c r="Y17" s="381">
        <f t="shared" ref="Y17:Y27" si="9">IF(Q17&lt;&gt;"",X17+M17,"")</f>
        <v>40662.568659127624</v>
      </c>
      <c r="Z17" s="382">
        <f t="shared" ref="Z17:Z26" si="10">IF(Q17&lt;&gt;"", IFERROR(U17/K17, 0), 0)</f>
        <v>0.26739926739926739</v>
      </c>
      <c r="AA17" s="383">
        <f>IFERROR(T17/$T$27, "")</f>
        <v>1</v>
      </c>
      <c r="AJ17" s="306" t="s">
        <v>52</v>
      </c>
      <c r="AN17" s="518">
        <f>X17-AO17</f>
        <v>0</v>
      </c>
      <c r="AO17" s="519">
        <v>40000</v>
      </c>
      <c r="AP17" s="310" t="s">
        <v>478</v>
      </c>
    </row>
    <row r="18" spans="1:42" ht="60" customHeight="1" x14ac:dyDescent="0.4">
      <c r="A18" s="334">
        <v>4</v>
      </c>
      <c r="B18" s="353" t="s">
        <v>97</v>
      </c>
      <c r="C18" s="354" t="s">
        <v>134</v>
      </c>
      <c r="D18" s="334" t="s">
        <v>157</v>
      </c>
      <c r="E18" s="334" t="s">
        <v>145</v>
      </c>
      <c r="F18" s="367" t="s">
        <v>226</v>
      </c>
      <c r="G18" s="423" t="s">
        <v>286</v>
      </c>
      <c r="H18" s="369">
        <v>1</v>
      </c>
      <c r="I18" s="370">
        <v>1</v>
      </c>
      <c r="J18" s="386">
        <v>11340</v>
      </c>
      <c r="K18" s="372">
        <f t="shared" si="0"/>
        <v>11340</v>
      </c>
      <c r="L18" s="372">
        <f t="shared" si="1"/>
        <v>567</v>
      </c>
      <c r="M18" s="372">
        <f t="shared" si="2"/>
        <v>137.61041381881452</v>
      </c>
      <c r="N18" s="373">
        <f t="shared" si="3"/>
        <v>12044.610413818815</v>
      </c>
      <c r="O18" s="421"/>
      <c r="Q18" s="395">
        <f t="shared" si="4"/>
        <v>1</v>
      </c>
      <c r="R18" s="396">
        <f>IF(I18&lt;&gt;"",I18,"")</f>
        <v>1</v>
      </c>
      <c r="S18" s="397">
        <f>10500-3850</f>
        <v>6650</v>
      </c>
      <c r="T18" s="471">
        <v>0</v>
      </c>
      <c r="U18" s="399">
        <f t="shared" si="5"/>
        <v>11340</v>
      </c>
      <c r="V18" s="400">
        <f t="shared" si="6"/>
        <v>0</v>
      </c>
      <c r="W18" s="401">
        <f t="shared" si="7"/>
        <v>0</v>
      </c>
      <c r="X18" s="401">
        <f t="shared" si="8"/>
        <v>0</v>
      </c>
      <c r="Y18" s="402">
        <f t="shared" si="9"/>
        <v>137.61041381881452</v>
      </c>
      <c r="Z18" s="382">
        <f t="shared" si="10"/>
        <v>1</v>
      </c>
      <c r="AA18" s="383">
        <f>IFERROR(T18/$T$27, "")</f>
        <v>0</v>
      </c>
      <c r="AJ18" s="306" t="s">
        <v>52</v>
      </c>
      <c r="AN18" s="518"/>
      <c r="AO18" s="519"/>
    </row>
    <row r="19" spans="1:42" ht="60" customHeight="1" x14ac:dyDescent="0.4">
      <c r="A19" s="334">
        <v>5</v>
      </c>
      <c r="B19" s="353" t="s">
        <v>136</v>
      </c>
      <c r="C19" s="354" t="s">
        <v>134</v>
      </c>
      <c r="D19" s="334" t="s">
        <v>157</v>
      </c>
      <c r="E19" s="334" t="s">
        <v>145</v>
      </c>
      <c r="F19" s="469" t="s">
        <v>287</v>
      </c>
      <c r="G19" s="470" t="s">
        <v>297</v>
      </c>
      <c r="H19" s="450">
        <v>1</v>
      </c>
      <c r="I19" s="450">
        <v>1</v>
      </c>
      <c r="J19" s="520">
        <v>0</v>
      </c>
      <c r="K19" s="393">
        <f t="shared" si="0"/>
        <v>0</v>
      </c>
      <c r="L19" s="372">
        <f t="shared" si="1"/>
        <v>0</v>
      </c>
      <c r="M19" s="372">
        <f t="shared" si="2"/>
        <v>0</v>
      </c>
      <c r="N19" s="373">
        <f t="shared" si="3"/>
        <v>0</v>
      </c>
      <c r="Q19" s="395">
        <f t="shared" si="4"/>
        <v>1</v>
      </c>
      <c r="R19" s="521">
        <v>0</v>
      </c>
      <c r="S19" s="455">
        <v>3860</v>
      </c>
      <c r="T19" s="397">
        <v>0</v>
      </c>
      <c r="U19" s="399">
        <f t="shared" si="5"/>
        <v>0</v>
      </c>
      <c r="V19" s="400">
        <f t="shared" si="6"/>
        <v>0</v>
      </c>
      <c r="W19" s="401">
        <f t="shared" si="7"/>
        <v>0</v>
      </c>
      <c r="X19" s="401">
        <f t="shared" si="8"/>
        <v>0</v>
      </c>
      <c r="Y19" s="402">
        <f t="shared" si="9"/>
        <v>0</v>
      </c>
      <c r="Z19" s="382">
        <f t="shared" si="10"/>
        <v>0</v>
      </c>
      <c r="AA19" s="383">
        <f>IFERROR(T19/$T$27, "")</f>
        <v>0</v>
      </c>
      <c r="AJ19" s="306" t="s">
        <v>52</v>
      </c>
      <c r="AN19" s="518"/>
      <c r="AO19" s="519"/>
    </row>
    <row r="20" spans="1:42" ht="60" customHeight="1" x14ac:dyDescent="0.4">
      <c r="A20" s="334">
        <v>6</v>
      </c>
      <c r="B20" s="353" t="s">
        <v>137</v>
      </c>
      <c r="C20" s="354" t="s">
        <v>134</v>
      </c>
      <c r="D20" s="334" t="s">
        <v>157</v>
      </c>
      <c r="E20" s="334" t="s">
        <v>145</v>
      </c>
      <c r="F20" s="469" t="s">
        <v>294</v>
      </c>
      <c r="G20" s="522" t="s">
        <v>308</v>
      </c>
      <c r="H20" s="523">
        <v>1</v>
      </c>
      <c r="I20" s="523">
        <v>1</v>
      </c>
      <c r="J20" s="524">
        <v>6100</v>
      </c>
      <c r="K20" s="525">
        <f t="shared" si="0"/>
        <v>6100</v>
      </c>
      <c r="L20" s="372">
        <f t="shared" si="1"/>
        <v>305</v>
      </c>
      <c r="M20" s="372">
        <f t="shared" si="2"/>
        <v>74.023238473965478</v>
      </c>
      <c r="N20" s="373">
        <f t="shared" si="3"/>
        <v>6479.0232384739656</v>
      </c>
      <c r="O20" s="421"/>
      <c r="Q20" s="395">
        <f t="shared" si="4"/>
        <v>1</v>
      </c>
      <c r="R20" s="396">
        <f>IF(I20&lt;&gt;"",I20,"")</f>
        <v>1</v>
      </c>
      <c r="S20" s="471">
        <v>5000</v>
      </c>
      <c r="T20" s="397">
        <v>0</v>
      </c>
      <c r="U20" s="399">
        <f t="shared" si="5"/>
        <v>6100</v>
      </c>
      <c r="V20" s="400">
        <f t="shared" si="6"/>
        <v>0</v>
      </c>
      <c r="W20" s="401">
        <f t="shared" si="7"/>
        <v>0</v>
      </c>
      <c r="X20" s="401">
        <f t="shared" si="8"/>
        <v>0</v>
      </c>
      <c r="Y20" s="402">
        <f t="shared" si="9"/>
        <v>74.023238473965478</v>
      </c>
      <c r="Z20" s="382">
        <f t="shared" si="10"/>
        <v>1</v>
      </c>
      <c r="AA20" s="526"/>
      <c r="AN20" s="518"/>
      <c r="AO20" s="519"/>
    </row>
    <row r="21" spans="1:42" ht="60" customHeight="1" x14ac:dyDescent="0.4">
      <c r="A21" s="334">
        <v>7</v>
      </c>
      <c r="B21" s="353" t="s">
        <v>138</v>
      </c>
      <c r="C21" s="354" t="s">
        <v>134</v>
      </c>
      <c r="D21" s="334" t="s">
        <v>157</v>
      </c>
      <c r="E21" s="334" t="s">
        <v>145</v>
      </c>
      <c r="F21" s="469" t="s">
        <v>287</v>
      </c>
      <c r="G21" s="470" t="s">
        <v>289</v>
      </c>
      <c r="H21" s="450">
        <v>1</v>
      </c>
      <c r="I21" s="450">
        <v>1</v>
      </c>
      <c r="J21" s="520">
        <v>1257.9839999999999</v>
      </c>
      <c r="K21" s="393">
        <f t="shared" si="0"/>
        <v>1257.9839999999999</v>
      </c>
      <c r="L21" s="372">
        <f t="shared" si="1"/>
        <v>62.8992</v>
      </c>
      <c r="M21" s="372">
        <f t="shared" si="2"/>
        <v>15.26558190630049</v>
      </c>
      <c r="N21" s="373">
        <f t="shared" si="3"/>
        <v>1336.1487819063004</v>
      </c>
      <c r="O21" s="421"/>
      <c r="Q21" s="395">
        <f t="shared" si="4"/>
        <v>1</v>
      </c>
      <c r="R21" s="396">
        <f>IF(I21&lt;&gt;"",I21,"")</f>
        <v>1</v>
      </c>
      <c r="S21" s="471">
        <v>1048.32</v>
      </c>
      <c r="T21" s="397">
        <v>0</v>
      </c>
      <c r="U21" s="399">
        <f t="shared" si="5"/>
        <v>1257.9839999999999</v>
      </c>
      <c r="V21" s="400">
        <f t="shared" si="6"/>
        <v>0</v>
      </c>
      <c r="W21" s="401">
        <f t="shared" si="7"/>
        <v>0</v>
      </c>
      <c r="X21" s="401">
        <f t="shared" si="8"/>
        <v>0</v>
      </c>
      <c r="Y21" s="402">
        <f t="shared" si="9"/>
        <v>15.26558190630049</v>
      </c>
      <c r="Z21" s="382">
        <f t="shared" si="10"/>
        <v>1</v>
      </c>
      <c r="AA21" s="383">
        <f t="shared" ref="AA21:AA26" si="11">IFERROR(T21/$T$27, "")</f>
        <v>0</v>
      </c>
      <c r="AN21" s="518"/>
      <c r="AO21" s="519"/>
    </row>
    <row r="22" spans="1:42" ht="60" customHeight="1" x14ac:dyDescent="0.4">
      <c r="A22" s="334">
        <v>8</v>
      </c>
      <c r="B22" s="353" t="s">
        <v>139</v>
      </c>
      <c r="C22" s="354" t="s">
        <v>134</v>
      </c>
      <c r="D22" s="334" t="s">
        <v>157</v>
      </c>
      <c r="E22" s="334" t="s">
        <v>145</v>
      </c>
      <c r="F22" s="469" t="s">
        <v>287</v>
      </c>
      <c r="G22" s="470" t="s">
        <v>288</v>
      </c>
      <c r="H22" s="450">
        <v>1</v>
      </c>
      <c r="I22" s="450">
        <v>1</v>
      </c>
      <c r="J22" s="520">
        <v>1009.008</v>
      </c>
      <c r="K22" s="393">
        <f t="shared" si="0"/>
        <v>1009.008</v>
      </c>
      <c r="L22" s="372">
        <f t="shared" si="1"/>
        <v>50.450400000000002</v>
      </c>
      <c r="M22" s="372">
        <f t="shared" si="2"/>
        <v>12.244268820678519</v>
      </c>
      <c r="N22" s="373">
        <f t="shared" si="3"/>
        <v>1071.7026688206786</v>
      </c>
      <c r="O22" s="421"/>
      <c r="Q22" s="395">
        <f t="shared" si="4"/>
        <v>1</v>
      </c>
      <c r="R22" s="396">
        <f>IF(I22&lt;&gt;"",I22,"")</f>
        <v>1</v>
      </c>
      <c r="S22" s="471">
        <v>840.84</v>
      </c>
      <c r="T22" s="397">
        <v>0</v>
      </c>
      <c r="U22" s="399">
        <f t="shared" si="5"/>
        <v>1009.008</v>
      </c>
      <c r="V22" s="400">
        <f t="shared" si="6"/>
        <v>0</v>
      </c>
      <c r="W22" s="401">
        <f t="shared" si="7"/>
        <v>0</v>
      </c>
      <c r="X22" s="401">
        <f t="shared" si="8"/>
        <v>0</v>
      </c>
      <c r="Y22" s="402">
        <f t="shared" si="9"/>
        <v>12.244268820678519</v>
      </c>
      <c r="Z22" s="382">
        <f t="shared" si="10"/>
        <v>1</v>
      </c>
      <c r="AA22" s="383">
        <f t="shared" si="11"/>
        <v>0</v>
      </c>
      <c r="AN22" s="518"/>
      <c r="AO22" s="519"/>
    </row>
    <row r="23" spans="1:42" ht="60" customHeight="1" x14ac:dyDescent="0.4">
      <c r="A23" s="334">
        <v>9</v>
      </c>
      <c r="B23" s="353" t="s">
        <v>140</v>
      </c>
      <c r="C23" s="354" t="s">
        <v>134</v>
      </c>
      <c r="D23" s="334" t="s">
        <v>157</v>
      </c>
      <c r="E23" s="334" t="s">
        <v>145</v>
      </c>
      <c r="F23" s="469" t="s">
        <v>287</v>
      </c>
      <c r="G23" s="470" t="s">
        <v>291</v>
      </c>
      <c r="H23" s="450">
        <v>1</v>
      </c>
      <c r="I23" s="450">
        <v>1</v>
      </c>
      <c r="J23" s="520">
        <v>4752</v>
      </c>
      <c r="K23" s="393">
        <f t="shared" si="0"/>
        <v>4752</v>
      </c>
      <c r="L23" s="372">
        <f t="shared" si="1"/>
        <v>237.60000000000002</v>
      </c>
      <c r="M23" s="372">
        <f t="shared" si="2"/>
        <v>57.665316266931804</v>
      </c>
      <c r="N23" s="373">
        <f t="shared" si="3"/>
        <v>5047.2653162669321</v>
      </c>
      <c r="O23" s="421"/>
      <c r="Q23" s="395">
        <f t="shared" si="4"/>
        <v>1</v>
      </c>
      <c r="R23" s="527">
        <v>1</v>
      </c>
      <c r="S23" s="471">
        <v>3960</v>
      </c>
      <c r="T23" s="397">
        <v>0</v>
      </c>
      <c r="U23" s="399">
        <f t="shared" si="5"/>
        <v>4752</v>
      </c>
      <c r="V23" s="400">
        <f t="shared" si="6"/>
        <v>0</v>
      </c>
      <c r="W23" s="401">
        <f t="shared" si="7"/>
        <v>0</v>
      </c>
      <c r="X23" s="401">
        <f t="shared" si="8"/>
        <v>0</v>
      </c>
      <c r="Y23" s="402">
        <f t="shared" si="9"/>
        <v>57.665316266931804</v>
      </c>
      <c r="Z23" s="382">
        <f t="shared" si="10"/>
        <v>1</v>
      </c>
      <c r="AA23" s="383">
        <f t="shared" si="11"/>
        <v>0</v>
      </c>
      <c r="AN23" s="518"/>
      <c r="AO23" s="519"/>
    </row>
    <row r="24" spans="1:42" ht="60" customHeight="1" x14ac:dyDescent="0.4">
      <c r="A24" s="334">
        <v>10</v>
      </c>
      <c r="B24" s="353" t="s">
        <v>141</v>
      </c>
      <c r="C24" s="354" t="s">
        <v>134</v>
      </c>
      <c r="D24" s="334" t="s">
        <v>157</v>
      </c>
      <c r="E24" s="334" t="s">
        <v>145</v>
      </c>
      <c r="F24" s="469" t="s">
        <v>287</v>
      </c>
      <c r="G24" s="470" t="s">
        <v>290</v>
      </c>
      <c r="H24" s="450">
        <v>1</v>
      </c>
      <c r="I24" s="450">
        <v>1</v>
      </c>
      <c r="J24" s="520">
        <v>1247.4000000000001</v>
      </c>
      <c r="K24" s="393">
        <f t="shared" si="0"/>
        <v>1247.4000000000001</v>
      </c>
      <c r="L24" s="372">
        <f t="shared" si="1"/>
        <v>62.370000000000005</v>
      </c>
      <c r="M24" s="372">
        <f t="shared" si="2"/>
        <v>15.137145520069597</v>
      </c>
      <c r="N24" s="373">
        <f t="shared" si="3"/>
        <v>1324.9071455200697</v>
      </c>
      <c r="O24" s="421"/>
      <c r="Q24" s="395">
        <f t="shared" si="4"/>
        <v>1</v>
      </c>
      <c r="R24" s="396">
        <f>IF(I24&lt;&gt;"",I24,"")</f>
        <v>1</v>
      </c>
      <c r="S24" s="471">
        <v>924</v>
      </c>
      <c r="T24" s="397">
        <v>0</v>
      </c>
      <c r="U24" s="399">
        <f t="shared" si="5"/>
        <v>1247.4000000000001</v>
      </c>
      <c r="V24" s="400">
        <f t="shared" si="6"/>
        <v>0</v>
      </c>
      <c r="W24" s="401">
        <f t="shared" si="7"/>
        <v>0</v>
      </c>
      <c r="X24" s="401">
        <f t="shared" si="8"/>
        <v>0</v>
      </c>
      <c r="Y24" s="402">
        <f t="shared" si="9"/>
        <v>15.137145520069597</v>
      </c>
      <c r="Z24" s="382">
        <f t="shared" si="10"/>
        <v>1</v>
      </c>
      <c r="AA24" s="383">
        <f t="shared" si="11"/>
        <v>0</v>
      </c>
      <c r="AN24" s="518"/>
      <c r="AO24" s="519"/>
    </row>
    <row r="25" spans="1:42" ht="60" customHeight="1" x14ac:dyDescent="0.4">
      <c r="A25" s="334">
        <v>11</v>
      </c>
      <c r="B25" s="353" t="s">
        <v>284</v>
      </c>
      <c r="C25" s="354" t="s">
        <v>134</v>
      </c>
      <c r="D25" s="334" t="s">
        <v>157</v>
      </c>
      <c r="E25" s="334" t="s">
        <v>145</v>
      </c>
      <c r="F25" s="469" t="s">
        <v>293</v>
      </c>
      <c r="G25" s="470" t="s">
        <v>292</v>
      </c>
      <c r="H25" s="450">
        <v>1</v>
      </c>
      <c r="I25" s="450">
        <v>1</v>
      </c>
      <c r="J25" s="520">
        <v>3150</v>
      </c>
      <c r="K25" s="393">
        <f t="shared" si="0"/>
        <v>3150</v>
      </c>
      <c r="L25" s="372">
        <f t="shared" si="1"/>
        <v>157.5</v>
      </c>
      <c r="M25" s="372">
        <f t="shared" si="2"/>
        <v>38.225114949670697</v>
      </c>
      <c r="N25" s="373">
        <f t="shared" si="3"/>
        <v>3345.7251149496706</v>
      </c>
      <c r="O25" s="421"/>
      <c r="Q25" s="395">
        <f t="shared" si="4"/>
        <v>1</v>
      </c>
      <c r="R25" s="527">
        <v>1</v>
      </c>
      <c r="S25" s="471">
        <v>3150</v>
      </c>
      <c r="T25" s="397">
        <v>0</v>
      </c>
      <c r="U25" s="399">
        <f t="shared" si="5"/>
        <v>3150</v>
      </c>
      <c r="V25" s="400">
        <f t="shared" si="6"/>
        <v>0</v>
      </c>
      <c r="W25" s="401">
        <f t="shared" si="7"/>
        <v>0</v>
      </c>
      <c r="X25" s="401">
        <f t="shared" si="8"/>
        <v>0</v>
      </c>
      <c r="Y25" s="402">
        <f t="shared" si="9"/>
        <v>38.225114949670697</v>
      </c>
      <c r="Z25" s="382">
        <f t="shared" si="10"/>
        <v>1</v>
      </c>
      <c r="AA25" s="383">
        <f t="shared" si="11"/>
        <v>0</v>
      </c>
      <c r="AN25" s="518"/>
      <c r="AO25" s="519"/>
    </row>
    <row r="26" spans="1:42" ht="60" customHeight="1" x14ac:dyDescent="0.4">
      <c r="A26" s="334">
        <v>12</v>
      </c>
      <c r="B26" s="353" t="s">
        <v>298</v>
      </c>
      <c r="C26" s="354" t="s">
        <v>134</v>
      </c>
      <c r="D26" s="334" t="s">
        <v>157</v>
      </c>
      <c r="E26" s="334" t="s">
        <v>145</v>
      </c>
      <c r="F26" s="469" t="s">
        <v>287</v>
      </c>
      <c r="G26" s="470" t="s">
        <v>309</v>
      </c>
      <c r="H26" s="450">
        <v>1</v>
      </c>
      <c r="I26" s="411">
        <v>1</v>
      </c>
      <c r="J26" s="424">
        <v>2800</v>
      </c>
      <c r="K26" s="393">
        <f t="shared" si="0"/>
        <v>2800</v>
      </c>
      <c r="L26" s="372">
        <f t="shared" si="1"/>
        <v>140</v>
      </c>
      <c r="M26" s="372">
        <f t="shared" si="2"/>
        <v>33.977879955262843</v>
      </c>
      <c r="N26" s="373">
        <f t="shared" si="3"/>
        <v>2973.9778799552628</v>
      </c>
      <c r="O26" s="451"/>
      <c r="Q26" s="395">
        <f t="shared" si="4"/>
        <v>1</v>
      </c>
      <c r="R26" s="521">
        <v>1</v>
      </c>
      <c r="S26" s="455">
        <v>14900</v>
      </c>
      <c r="T26" s="397">
        <v>0</v>
      </c>
      <c r="U26" s="399">
        <f t="shared" si="5"/>
        <v>2800</v>
      </c>
      <c r="V26" s="400">
        <f t="shared" si="6"/>
        <v>0</v>
      </c>
      <c r="W26" s="401">
        <f t="shared" si="7"/>
        <v>0</v>
      </c>
      <c r="X26" s="401">
        <f t="shared" si="8"/>
        <v>0</v>
      </c>
      <c r="Y26" s="402">
        <f t="shared" si="9"/>
        <v>33.977879955262843</v>
      </c>
      <c r="Z26" s="382">
        <f t="shared" si="10"/>
        <v>1</v>
      </c>
      <c r="AA26" s="383">
        <f t="shared" si="11"/>
        <v>0</v>
      </c>
      <c r="AN26" s="518"/>
      <c r="AO26" s="519"/>
    </row>
    <row r="27" spans="1:42" ht="30" customHeight="1" thickBot="1" x14ac:dyDescent="0.5">
      <c r="A27" s="334">
        <v>14</v>
      </c>
      <c r="B27" s="500"/>
      <c r="C27" s="354" t="s">
        <v>142</v>
      </c>
      <c r="D27" s="334"/>
      <c r="E27" s="334"/>
      <c r="F27" s="643" t="s">
        <v>143</v>
      </c>
      <c r="G27" s="644"/>
      <c r="H27" s="644"/>
      <c r="I27" s="644"/>
      <c r="J27" s="644"/>
      <c r="K27" s="446">
        <f>SUM(K17:K26)</f>
        <v>86256.391999999993</v>
      </c>
      <c r="L27" s="446">
        <f>SUM(L17:L26)</f>
        <v>4312.8195999999998</v>
      </c>
      <c r="M27" s="446">
        <f>SUM(M17:M26)</f>
        <v>1046.7176188393194</v>
      </c>
      <c r="N27" s="528">
        <f>SUM(N17:N26)</f>
        <v>91615.92921883933</v>
      </c>
      <c r="Q27" s="645" t="s">
        <v>198</v>
      </c>
      <c r="R27" s="646"/>
      <c r="S27" s="646"/>
      <c r="T27" s="405">
        <f>SUM(T17:T26)</f>
        <v>40000</v>
      </c>
      <c r="U27" s="406">
        <f>SUM(U17:U26)</f>
        <v>46256.392</v>
      </c>
      <c r="V27" s="407"/>
      <c r="W27" s="407"/>
      <c r="X27" s="408">
        <f>SUM(X17:X26)</f>
        <v>40000</v>
      </c>
      <c r="Y27" s="529">
        <f t="shared" si="9"/>
        <v>41046.71761883932</v>
      </c>
      <c r="AN27" s="518">
        <f>SUM(AN17:AN26)</f>
        <v>0</v>
      </c>
      <c r="AO27" s="519">
        <f>SUM(AO17:AO26)</f>
        <v>40000</v>
      </c>
    </row>
    <row r="29" spans="1:42" x14ac:dyDescent="0.4">
      <c r="K29" s="530"/>
      <c r="T29" s="503"/>
    </row>
    <row r="30" spans="1:42" x14ac:dyDescent="0.4">
      <c r="J30" s="503"/>
      <c r="S30" s="503"/>
      <c r="AO30" s="616"/>
      <c r="AP30" s="617" t="s">
        <v>509</v>
      </c>
    </row>
    <row r="31" spans="1:42" x14ac:dyDescent="0.4">
      <c r="J31" s="503"/>
      <c r="AO31" s="618">
        <f>X27</f>
        <v>40000</v>
      </c>
      <c r="AP31" s="617" t="s">
        <v>510</v>
      </c>
    </row>
    <row r="32" spans="1:42" x14ac:dyDescent="0.4">
      <c r="AO32" s="618">
        <f>N27-X27</f>
        <v>51615.92921883933</v>
      </c>
      <c r="AP32" s="617" t="s">
        <v>447</v>
      </c>
    </row>
    <row r="33" spans="41:42" x14ac:dyDescent="0.4">
      <c r="AO33" s="619">
        <f>AO32*100%/N27</f>
        <v>0.5633947028528894</v>
      </c>
      <c r="AP33" s="620"/>
    </row>
  </sheetData>
  <mergeCells count="15">
    <mergeCell ref="F27:J27"/>
    <mergeCell ref="Q27:S27"/>
    <mergeCell ref="F1:G1"/>
    <mergeCell ref="F2:G2"/>
    <mergeCell ref="Q12:T12"/>
    <mergeCell ref="AN16:AO16"/>
    <mergeCell ref="F15:N15"/>
    <mergeCell ref="Q15:Y15"/>
    <mergeCell ref="F16:K16"/>
    <mergeCell ref="Q16:Y16"/>
    <mergeCell ref="AK12:AL12"/>
    <mergeCell ref="U12:X12"/>
    <mergeCell ref="AC12:AE12"/>
    <mergeCell ref="AG12:AH12"/>
    <mergeCell ref="AN15:AO15"/>
  </mergeCells>
  <phoneticPr fontId="36" type="noConversion"/>
  <dataValidations count="2">
    <dataValidation type="list" allowBlank="1" showInputMessage="1" showErrorMessage="1" sqref="E17:E26" xr:uid="{1E1CCF54-E3B3-4148-99C6-94316C476045}">
      <formula1>"FAT.OGGI,FAT.CLIENTE"</formula1>
    </dataValidation>
    <dataValidation type="list" allowBlank="1" showInputMessage="1" showErrorMessage="1" sqref="D17:D26" xr:uid="{0E201853-73F2-409F-BEED-557E95B313B1}">
      <formula1>"INTERNO,OPERACIONAL"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7FBDC-CF4D-4120-95FE-2CA34EAA2591}">
  <sheetPr codeName="Planilha13">
    <pageSetUpPr autoPageBreaks="0"/>
  </sheetPr>
  <dimension ref="A1:AP57"/>
  <sheetViews>
    <sheetView showGridLines="0" topLeftCell="H1" zoomScale="55" zoomScaleNormal="55" workbookViewId="0">
      <pane ySplit="1" topLeftCell="A8" activePane="bottomLeft" state="frozen"/>
      <selection activeCell="N1" sqref="N1:N1048576"/>
      <selection pane="bottomLeft" activeCell="AB54" sqref="AB54"/>
    </sheetView>
  </sheetViews>
  <sheetFormatPr defaultColWidth="8.88671875" defaultRowHeight="14.4" x14ac:dyDescent="0.3"/>
  <cols>
    <col min="1" max="1" width="3.44140625" style="64" hidden="1" customWidth="1"/>
    <col min="2" max="2" width="9.44140625" style="64" customWidth="1"/>
    <col min="3" max="3" width="7.88671875" style="64" hidden="1" customWidth="1"/>
    <col min="4" max="4" width="17.109375" style="64" hidden="1" customWidth="1"/>
    <col min="5" max="5" width="7.88671875" style="64" hidden="1" customWidth="1"/>
    <col min="6" max="6" width="33.5546875" customWidth="1"/>
    <col min="7" max="7" width="71.88671875" style="123" customWidth="1"/>
    <col min="8" max="8" width="7.44140625" style="38" customWidth="1"/>
    <col min="9" max="9" width="7.44140625" style="38" hidden="1" customWidth="1"/>
    <col min="10" max="10" width="21.88671875" hidden="1" customWidth="1"/>
    <col min="11" max="11" width="23.88671875" customWidth="1"/>
    <col min="12" max="12" width="56.6640625" customWidth="1"/>
    <col min="13" max="13" width="23.109375" customWidth="1"/>
    <col min="14" max="14" width="25.109375" customWidth="1"/>
    <col min="15" max="15" width="19.6640625" hidden="1" customWidth="1"/>
    <col min="16" max="16" width="1.88671875" hidden="1" customWidth="1"/>
    <col min="17" max="17" width="8.44140625" style="38" customWidth="1"/>
    <col min="18" max="18" width="8.44140625" style="38" hidden="1" customWidth="1"/>
    <col min="19" max="19" width="21.88671875" hidden="1" customWidth="1"/>
    <col min="20" max="20" width="27" customWidth="1"/>
    <col min="21" max="21" width="24.88671875" hidden="1" customWidth="1"/>
    <col min="22" max="22" width="9.88671875" hidden="1" customWidth="1"/>
    <col min="23" max="23" width="16.109375" hidden="1" customWidth="1"/>
    <col min="24" max="24" width="34.109375" bestFit="1" customWidth="1"/>
    <col min="25" max="25" width="29.44140625" hidden="1" customWidth="1"/>
    <col min="26" max="26" width="20.88671875" hidden="1" customWidth="1"/>
    <col min="27" max="27" width="24.88671875" hidden="1" customWidth="1"/>
    <col min="28" max="28" width="21.88671875" customWidth="1"/>
    <col min="29" max="29" width="21.44140625" customWidth="1"/>
    <col min="30" max="30" width="7.88671875" hidden="1" customWidth="1"/>
    <col min="31" max="31" width="6.88671875" hidden="1" customWidth="1"/>
    <col min="32" max="32" width="1.109375" hidden="1" customWidth="1"/>
    <col min="33" max="33" width="14" hidden="1" customWidth="1"/>
    <col min="34" max="34" width="11.88671875" hidden="1" customWidth="1"/>
    <col min="35" max="35" width="6.109375" hidden="1" customWidth="1"/>
    <col min="36" max="36" width="12.88671875" hidden="1" customWidth="1"/>
    <col min="37" max="37" width="13.109375" hidden="1" customWidth="1"/>
    <col min="38" max="38" width="13.5546875" hidden="1" customWidth="1"/>
    <col min="39" max="39" width="8.88671875" hidden="1" customWidth="1"/>
    <col min="40" max="40" width="21.109375" hidden="1" customWidth="1"/>
    <col min="41" max="41" width="8.88671875" hidden="1" customWidth="1"/>
    <col min="42" max="42" width="18.6640625" hidden="1" customWidth="1"/>
    <col min="43" max="43" width="0" hidden="1" customWidth="1"/>
  </cols>
  <sheetData>
    <row r="1" spans="1:42" ht="49.5" customHeight="1" thickBot="1" x14ac:dyDescent="0.35">
      <c r="B1" s="67"/>
      <c r="C1" s="68"/>
      <c r="D1" s="68"/>
      <c r="F1" s="671" t="s">
        <v>247</v>
      </c>
      <c r="G1" s="672"/>
    </row>
    <row r="2" spans="1:42" ht="24.75" customHeight="1" x14ac:dyDescent="0.3">
      <c r="B2" s="65"/>
      <c r="D2" s="68"/>
      <c r="F2" s="673" t="s">
        <v>0</v>
      </c>
      <c r="G2" s="673"/>
    </row>
    <row r="3" spans="1:42" ht="18" x14ac:dyDescent="0.3">
      <c r="B3" s="69"/>
      <c r="F3" s="28"/>
      <c r="G3" s="117"/>
    </row>
    <row r="4" spans="1:42" ht="18" x14ac:dyDescent="0.3">
      <c r="F4" s="35" t="s">
        <v>121</v>
      </c>
      <c r="G4" s="118" t="s">
        <v>123</v>
      </c>
    </row>
    <row r="5" spans="1:42" ht="18" x14ac:dyDescent="0.3">
      <c r="F5" s="36" t="s">
        <v>120</v>
      </c>
      <c r="G5" s="119" t="s">
        <v>122</v>
      </c>
    </row>
    <row r="6" spans="1:42" ht="18" x14ac:dyDescent="0.3">
      <c r="D6" s="64" t="s">
        <v>99</v>
      </c>
      <c r="F6" s="36" t="s">
        <v>119</v>
      </c>
      <c r="G6" s="120" t="s">
        <v>124</v>
      </c>
    </row>
    <row r="7" spans="1:42" ht="21.75" customHeight="1" x14ac:dyDescent="0.3">
      <c r="F7" s="36" t="s">
        <v>118</v>
      </c>
      <c r="G7" s="120" t="s">
        <v>125</v>
      </c>
      <c r="J7" t="s">
        <v>111</v>
      </c>
    </row>
    <row r="8" spans="1:42" ht="18" x14ac:dyDescent="0.3">
      <c r="F8" s="36" t="s">
        <v>114</v>
      </c>
      <c r="G8" s="121" t="s">
        <v>147</v>
      </c>
    </row>
    <row r="9" spans="1:42" ht="18" x14ac:dyDescent="0.3">
      <c r="F9" s="36" t="s">
        <v>115</v>
      </c>
      <c r="G9" s="120" t="s">
        <v>113</v>
      </c>
      <c r="J9" t="s">
        <v>99</v>
      </c>
    </row>
    <row r="10" spans="1:42" ht="27" customHeight="1" x14ac:dyDescent="0.3">
      <c r="F10" s="36" t="s">
        <v>116</v>
      </c>
      <c r="G10" s="120" t="s">
        <v>126</v>
      </c>
    </row>
    <row r="11" spans="1:42" ht="18" x14ac:dyDescent="0.3">
      <c r="F11" s="37" t="s">
        <v>117</v>
      </c>
      <c r="G11" s="122" t="s">
        <v>127</v>
      </c>
      <c r="H11" s="131" t="s">
        <v>267</v>
      </c>
      <c r="I11" s="132"/>
      <c r="J11" s="133"/>
    </row>
    <row r="12" spans="1:42" ht="16.8" hidden="1" thickBot="1" x14ac:dyDescent="0.35">
      <c r="B12" s="66"/>
      <c r="M12" s="24"/>
      <c r="Q12" s="674" t="s">
        <v>1</v>
      </c>
      <c r="R12" s="675"/>
      <c r="S12" s="675"/>
      <c r="T12" s="676"/>
      <c r="U12" s="677" t="s">
        <v>2</v>
      </c>
      <c r="V12" s="678"/>
      <c r="W12" s="678"/>
      <c r="X12" s="679"/>
      <c r="Y12" s="26" t="s">
        <v>48</v>
      </c>
      <c r="Z12" s="27">
        <f>(1/(1-M14))-1</f>
        <v>0.24269914253759173</v>
      </c>
      <c r="AC12" s="692" t="s">
        <v>3</v>
      </c>
      <c r="AD12" s="693"/>
      <c r="AE12" s="694"/>
      <c r="AG12" s="690" t="s">
        <v>50</v>
      </c>
      <c r="AH12" s="691"/>
      <c r="AJ12" s="29" t="s">
        <v>52</v>
      </c>
      <c r="AK12" s="688" t="s">
        <v>51</v>
      </c>
      <c r="AL12" s="689"/>
    </row>
    <row r="13" spans="1:42" ht="15" thickBot="1" x14ac:dyDescent="0.35">
      <c r="A13" s="70" t="s">
        <v>4</v>
      </c>
      <c r="B13" s="71" t="s">
        <v>5</v>
      </c>
      <c r="C13" s="70" t="s">
        <v>6</v>
      </c>
      <c r="D13" s="70" t="s">
        <v>7</v>
      </c>
      <c r="E13" s="70" t="s">
        <v>8</v>
      </c>
      <c r="M13" s="25">
        <v>0.80469999999999997</v>
      </c>
    </row>
    <row r="14" spans="1:42" ht="33" thickBot="1" x14ac:dyDescent="0.35">
      <c r="A14" s="72">
        <v>0</v>
      </c>
      <c r="B14" s="73"/>
      <c r="C14" s="74"/>
      <c r="D14" s="75"/>
      <c r="E14" s="75"/>
      <c r="F14" s="50" t="s">
        <v>76</v>
      </c>
      <c r="G14" s="124" t="s">
        <v>77</v>
      </c>
      <c r="H14" s="51" t="s">
        <v>78</v>
      </c>
      <c r="I14" s="51" t="s">
        <v>79</v>
      </c>
      <c r="J14" s="52" t="s">
        <v>80</v>
      </c>
      <c r="K14" s="53" t="s">
        <v>9</v>
      </c>
      <c r="L14" s="77">
        <v>0.05</v>
      </c>
      <c r="M14" s="78">
        <f>1-M13</f>
        <v>0.19530000000000003</v>
      </c>
      <c r="N14" s="54" t="s">
        <v>74</v>
      </c>
      <c r="Q14" s="55" t="s">
        <v>81</v>
      </c>
      <c r="R14" s="56" t="s">
        <v>82</v>
      </c>
      <c r="S14" s="57" t="s">
        <v>83</v>
      </c>
      <c r="T14" s="58" t="s">
        <v>84</v>
      </c>
      <c r="U14" s="59" t="s">
        <v>85</v>
      </c>
      <c r="V14" s="60" t="s">
        <v>86</v>
      </c>
      <c r="W14" s="61" t="s">
        <v>87</v>
      </c>
      <c r="X14" s="61" t="s">
        <v>88</v>
      </c>
      <c r="Y14" s="62" t="s">
        <v>89</v>
      </c>
      <c r="Z14" s="39" t="s">
        <v>90</v>
      </c>
      <c r="AA14" s="40" t="s">
        <v>75</v>
      </c>
      <c r="AB14" s="365" t="s">
        <v>95</v>
      </c>
      <c r="AC14" s="366" t="s">
        <v>96</v>
      </c>
      <c r="AD14" s="41" t="s">
        <v>92</v>
      </c>
      <c r="AE14" s="41" t="s">
        <v>32</v>
      </c>
      <c r="AG14" s="42" t="s">
        <v>93</v>
      </c>
      <c r="AH14" s="43" t="s">
        <v>94</v>
      </c>
      <c r="AK14" s="44" t="s">
        <v>95</v>
      </c>
      <c r="AL14" s="45" t="s">
        <v>96</v>
      </c>
      <c r="AP14" s="366" t="s">
        <v>96</v>
      </c>
    </row>
    <row r="15" spans="1:42" ht="33" thickBot="1" x14ac:dyDescent="0.5">
      <c r="A15" s="76">
        <v>1</v>
      </c>
      <c r="B15" s="80">
        <v>1</v>
      </c>
      <c r="C15" s="79" t="s">
        <v>128</v>
      </c>
      <c r="D15" s="76"/>
      <c r="E15" s="76"/>
      <c r="F15" s="695"/>
      <c r="G15" s="696"/>
      <c r="H15" s="696"/>
      <c r="I15" s="696"/>
      <c r="J15" s="696"/>
      <c r="K15" s="696"/>
      <c r="L15" s="696"/>
      <c r="M15" s="696"/>
      <c r="N15" s="697"/>
      <c r="Q15" s="695" t="str">
        <f>IF(F15&lt;&gt;"",F15,"")</f>
        <v/>
      </c>
      <c r="R15" s="696"/>
      <c r="S15" s="696"/>
      <c r="T15" s="696"/>
      <c r="U15" s="696"/>
      <c r="V15" s="696"/>
      <c r="W15" s="696"/>
      <c r="X15" s="696"/>
      <c r="Y15" s="697"/>
      <c r="AB15" s="629"/>
      <c r="AC15" s="630"/>
      <c r="AP15" s="355"/>
    </row>
    <row r="16" spans="1:42" ht="26.4" customHeight="1" x14ac:dyDescent="0.45">
      <c r="A16" s="76">
        <v>2</v>
      </c>
      <c r="B16" s="80" t="s">
        <v>130</v>
      </c>
      <c r="C16" s="79" t="s">
        <v>129</v>
      </c>
      <c r="D16" s="76"/>
      <c r="E16" s="76"/>
      <c r="F16" s="680" t="s">
        <v>280</v>
      </c>
      <c r="G16" s="681"/>
      <c r="H16" s="681"/>
      <c r="I16" s="681"/>
      <c r="J16" s="681"/>
      <c r="K16" s="682"/>
      <c r="L16" s="82" t="s">
        <v>131</v>
      </c>
      <c r="M16" s="83" t="s">
        <v>132</v>
      </c>
      <c r="N16" s="99" t="s">
        <v>74</v>
      </c>
      <c r="Q16" s="683" t="str">
        <f>IF(F16&lt;&gt;"",F16,"")</f>
        <v>ESTANDES - Shirley</v>
      </c>
      <c r="R16" s="684"/>
      <c r="S16" s="684"/>
      <c r="T16" s="684"/>
      <c r="U16" s="684"/>
      <c r="V16" s="684"/>
      <c r="W16" s="684"/>
      <c r="X16" s="684"/>
      <c r="Y16" s="685"/>
      <c r="Z16" s="84" t="s">
        <v>133</v>
      </c>
      <c r="AA16" s="81" t="s">
        <v>75</v>
      </c>
      <c r="AB16" s="631"/>
      <c r="AC16" s="632"/>
      <c r="AP16" s="515"/>
    </row>
    <row r="17" spans="1:29" ht="42.6" customHeight="1" x14ac:dyDescent="0.4">
      <c r="A17" s="76">
        <v>3</v>
      </c>
      <c r="B17" s="98" t="s">
        <v>135</v>
      </c>
      <c r="C17" s="79" t="s">
        <v>134</v>
      </c>
      <c r="D17" s="76" t="s">
        <v>157</v>
      </c>
      <c r="E17" s="76" t="s">
        <v>145</v>
      </c>
      <c r="F17" s="96" t="s">
        <v>264</v>
      </c>
      <c r="G17" s="86" t="s">
        <v>269</v>
      </c>
      <c r="H17" s="97">
        <v>1</v>
      </c>
      <c r="I17" s="97">
        <v>1</v>
      </c>
      <c r="J17" s="85">
        <v>986861.98800000001</v>
      </c>
      <c r="K17" s="85">
        <f>IF(F17&lt;&gt;"",H17*I17*J17,"")</f>
        <v>986861.98800000001</v>
      </c>
      <c r="L17" s="85">
        <f>IF(K17&lt;&gt;"",IF(D17="INTERNO",0,K17*$L$14),"")</f>
        <v>49343.099400000006</v>
      </c>
      <c r="M17" s="85">
        <f>IF(K17&lt;&gt;"",IF(E17="FAT.OGGI",SUM(K17:L17)*(1/(1-$M$14)-1),L17*(1/(1-$M$14)-1)),0)</f>
        <v>11975.527914527158</v>
      </c>
      <c r="N17" s="91">
        <f>SUM(K17:M17)</f>
        <v>1048180.6153145272</v>
      </c>
      <c r="O17" s="143" t="s">
        <v>314</v>
      </c>
      <c r="Q17" s="105">
        <f t="shared" ref="Q17:R17" si="0">IF(H17&lt;&gt;"",H17,"")</f>
        <v>1</v>
      </c>
      <c r="R17" s="106">
        <f t="shared" si="0"/>
        <v>1</v>
      </c>
      <c r="S17" s="87">
        <f>913761.1+40000</f>
        <v>953761.1</v>
      </c>
      <c r="T17" s="87">
        <v>958269.61</v>
      </c>
      <c r="U17" s="90">
        <f>IF(Q17&lt;&gt;"",K17-T17,"")</f>
        <v>28592.378000000026</v>
      </c>
      <c r="V17" s="88">
        <f>IF(Q17&lt;&gt;"",0%,"")</f>
        <v>0</v>
      </c>
      <c r="W17" s="89">
        <f>IF(Q17&lt;&gt;"",V17*U17,"")</f>
        <v>0</v>
      </c>
      <c r="X17" s="89">
        <f>IF(Q17&lt;&gt;"",W17+T17,"")</f>
        <v>958269.61</v>
      </c>
      <c r="Y17" s="92">
        <f>IF(Q17&lt;&gt;"",X17+M17,"")</f>
        <v>970245.13791452709</v>
      </c>
      <c r="Z17" s="94">
        <f>IF(Q17&lt;&gt;"", IFERROR(U17/K17, 0), 0)</f>
        <v>2.8973025962775279E-2</v>
      </c>
      <c r="AA17" s="95" t="str">
        <f>IFERROR(T17/#REF!, "")</f>
        <v/>
      </c>
      <c r="AB17" s="518">
        <f>X17-AC17</f>
        <v>0</v>
      </c>
      <c r="AC17" s="519">
        <f>156865+200000+228342.75+300000+36530.93+36530.93</f>
        <v>958269.6100000001</v>
      </c>
    </row>
    <row r="18" spans="1:29" ht="27.6" customHeight="1" x14ac:dyDescent="0.3">
      <c r="A18"/>
      <c r="B18"/>
      <c r="C18"/>
      <c r="D18"/>
      <c r="E18"/>
    </row>
    <row r="19" spans="1:29" hidden="1" x14ac:dyDescent="0.3">
      <c r="A19"/>
      <c r="B19"/>
      <c r="C19"/>
      <c r="D19"/>
      <c r="E19"/>
    </row>
    <row r="20" spans="1:29" s="155" customFormat="1" ht="18" hidden="1" x14ac:dyDescent="0.35">
      <c r="G20" s="157"/>
      <c r="H20" s="156"/>
      <c r="I20" s="156"/>
      <c r="J20" s="163" t="s">
        <v>354</v>
      </c>
      <c r="K20" s="686" t="s">
        <v>393</v>
      </c>
      <c r="L20" s="687"/>
      <c r="N20" s="182">
        <v>300000</v>
      </c>
      <c r="O20" s="183" t="s">
        <v>340</v>
      </c>
      <c r="Q20" s="156"/>
      <c r="R20" s="156"/>
    </row>
    <row r="21" spans="1:29" s="155" customFormat="1" ht="18" hidden="1" x14ac:dyDescent="0.35">
      <c r="G21" s="157"/>
      <c r="H21" s="156"/>
      <c r="I21" s="156"/>
      <c r="J21" s="162">
        <v>986861.98800000001</v>
      </c>
      <c r="K21" s="164">
        <v>953761.1</v>
      </c>
      <c r="L21" s="86" t="s">
        <v>394</v>
      </c>
      <c r="N21" s="182">
        <v>156685.5</v>
      </c>
      <c r="O21" s="183" t="s">
        <v>340</v>
      </c>
      <c r="Q21" s="156"/>
      <c r="R21" s="156"/>
    </row>
    <row r="22" spans="1:29" s="155" customFormat="1" ht="18" hidden="1" x14ac:dyDescent="0.35">
      <c r="G22" s="157"/>
      <c r="H22" s="156"/>
      <c r="I22" s="156"/>
      <c r="J22" s="158">
        <v>6100</v>
      </c>
      <c r="K22" s="165"/>
      <c r="L22" s="160" t="s">
        <v>386</v>
      </c>
      <c r="N22" s="182">
        <v>228342.75</v>
      </c>
      <c r="O22" s="183" t="s">
        <v>340</v>
      </c>
      <c r="Q22" s="156"/>
      <c r="R22" s="156"/>
    </row>
    <row r="23" spans="1:29" s="155" customFormat="1" ht="18" hidden="1" x14ac:dyDescent="0.35">
      <c r="G23" s="157"/>
      <c r="H23" s="156"/>
      <c r="I23" s="156"/>
      <c r="J23" s="158">
        <v>1257.9839999999999</v>
      </c>
      <c r="K23" s="166">
        <v>5000</v>
      </c>
      <c r="L23" s="160"/>
      <c r="N23" s="182">
        <v>200000</v>
      </c>
      <c r="O23" s="183" t="s">
        <v>340</v>
      </c>
      <c r="Q23" s="156"/>
      <c r="R23" s="156"/>
    </row>
    <row r="24" spans="1:29" s="155" customFormat="1" ht="18" hidden="1" x14ac:dyDescent="0.35">
      <c r="G24" s="157"/>
      <c r="H24" s="156"/>
      <c r="I24" s="156"/>
      <c r="J24" s="158">
        <v>1009.008</v>
      </c>
      <c r="K24" s="166">
        <v>1048.32</v>
      </c>
      <c r="L24" s="160"/>
      <c r="N24" s="184">
        <f>SUM(N20:N23)</f>
        <v>885028.25</v>
      </c>
      <c r="O24" s="185" t="s">
        <v>416</v>
      </c>
      <c r="Q24" s="156"/>
      <c r="R24" s="156"/>
    </row>
    <row r="25" spans="1:29" s="155" customFormat="1" ht="18" hidden="1" x14ac:dyDescent="0.35">
      <c r="G25" s="157"/>
      <c r="H25" s="156"/>
      <c r="I25" s="156"/>
      <c r="J25" s="158">
        <v>4752</v>
      </c>
      <c r="K25" s="166">
        <v>840.84</v>
      </c>
      <c r="L25" s="160"/>
      <c r="N25" s="186">
        <f>K46</f>
        <v>922657.40159999987</v>
      </c>
      <c r="O25" s="187" t="s">
        <v>418</v>
      </c>
      <c r="Q25" s="156"/>
      <c r="R25" s="156"/>
    </row>
    <row r="26" spans="1:29" s="155" customFormat="1" ht="18" hidden="1" x14ac:dyDescent="0.35">
      <c r="G26" s="157"/>
      <c r="H26" s="156"/>
      <c r="I26" s="156"/>
      <c r="J26" s="158">
        <v>1247.4000000000001</v>
      </c>
      <c r="K26" s="166">
        <v>3960</v>
      </c>
      <c r="L26" s="160"/>
      <c r="N26" s="188">
        <f>N25-N24</f>
        <v>37629.151599999866</v>
      </c>
      <c r="O26" s="189" t="s">
        <v>417</v>
      </c>
      <c r="Q26" s="156"/>
      <c r="R26" s="156"/>
    </row>
    <row r="27" spans="1:29" s="155" customFormat="1" ht="16.2" hidden="1" x14ac:dyDescent="0.35">
      <c r="G27" s="157"/>
      <c r="H27" s="156"/>
      <c r="I27" s="156"/>
      <c r="J27" s="158">
        <v>3150</v>
      </c>
      <c r="K27" s="166">
        <v>924</v>
      </c>
      <c r="L27" s="160"/>
      <c r="Q27" s="156"/>
      <c r="R27" s="156"/>
    </row>
    <row r="28" spans="1:29" s="155" customFormat="1" ht="16.2" hidden="1" x14ac:dyDescent="0.35">
      <c r="G28" s="157"/>
      <c r="H28" s="156"/>
      <c r="I28" s="156"/>
      <c r="J28" s="158">
        <v>2800</v>
      </c>
      <c r="K28" s="166">
        <v>3150</v>
      </c>
      <c r="L28" s="160"/>
      <c r="Q28" s="156"/>
      <c r="R28" s="156"/>
    </row>
    <row r="29" spans="1:29" s="155" customFormat="1" ht="48.6" hidden="1" x14ac:dyDescent="0.35">
      <c r="G29" s="157"/>
      <c r="H29" s="156"/>
      <c r="I29" s="156"/>
      <c r="J29" s="97"/>
      <c r="K29" s="167">
        <v>14900</v>
      </c>
      <c r="L29" s="161" t="s">
        <v>387</v>
      </c>
      <c r="Q29" s="156"/>
      <c r="R29" s="156"/>
    </row>
    <row r="30" spans="1:29" s="155" customFormat="1" ht="16.2" hidden="1" x14ac:dyDescent="0.35">
      <c r="G30" s="157"/>
      <c r="H30" s="156"/>
      <c r="I30" s="156"/>
      <c r="J30" s="97"/>
      <c r="K30" s="168">
        <v>5950</v>
      </c>
      <c r="L30" s="169"/>
      <c r="Q30" s="156"/>
      <c r="R30" s="156"/>
    </row>
    <row r="31" spans="1:29" s="155" customFormat="1" ht="16.2" hidden="1" x14ac:dyDescent="0.35">
      <c r="G31" s="157"/>
      <c r="H31" s="156"/>
      <c r="I31" s="156"/>
      <c r="J31" s="97"/>
      <c r="K31" s="168">
        <v>4749.96</v>
      </c>
      <c r="L31" s="169"/>
      <c r="Q31" s="156"/>
      <c r="R31" s="156"/>
      <c r="S31" s="175"/>
    </row>
    <row r="32" spans="1:29" s="155" customFormat="1" ht="16.2" hidden="1" x14ac:dyDescent="0.35">
      <c r="G32" s="157"/>
      <c r="H32" s="156"/>
      <c r="I32" s="156"/>
      <c r="J32" s="97"/>
      <c r="K32" s="168">
        <v>7488</v>
      </c>
      <c r="L32" s="169"/>
      <c r="Q32" s="156"/>
      <c r="R32" s="156"/>
    </row>
    <row r="33" spans="1:18" s="155" customFormat="1" ht="16.2" hidden="1" x14ac:dyDescent="0.35">
      <c r="G33" s="157"/>
      <c r="H33" s="156"/>
      <c r="I33" s="156"/>
      <c r="J33" s="97"/>
      <c r="K33" s="168">
        <v>1780</v>
      </c>
      <c r="L33" s="169"/>
      <c r="Q33" s="156"/>
      <c r="R33" s="156"/>
    </row>
    <row r="34" spans="1:18" s="155" customFormat="1" ht="16.2" hidden="1" x14ac:dyDescent="0.35">
      <c r="G34" s="157"/>
      <c r="H34" s="156"/>
      <c r="I34" s="156"/>
      <c r="J34" s="97"/>
      <c r="K34" s="168">
        <v>859</v>
      </c>
      <c r="L34" s="169"/>
      <c r="Q34" s="156"/>
      <c r="R34" s="156"/>
    </row>
    <row r="35" spans="1:18" s="155" customFormat="1" ht="16.2" hidden="1" x14ac:dyDescent="0.35">
      <c r="G35" s="157"/>
      <c r="H35" s="156"/>
      <c r="I35" s="156"/>
      <c r="J35" s="97"/>
      <c r="K35" s="168">
        <v>2250</v>
      </c>
      <c r="L35" s="169"/>
      <c r="Q35" s="156"/>
      <c r="R35" s="156"/>
    </row>
    <row r="36" spans="1:18" s="155" customFormat="1" ht="16.2" hidden="1" x14ac:dyDescent="0.35">
      <c r="G36" s="157"/>
      <c r="H36" s="156"/>
      <c r="I36" s="156"/>
      <c r="J36" s="97"/>
      <c r="K36" s="190">
        <v>7310.18</v>
      </c>
      <c r="L36" s="191" t="s">
        <v>421</v>
      </c>
      <c r="Q36" s="156"/>
      <c r="R36" s="156"/>
    </row>
    <row r="37" spans="1:18" ht="16.2" hidden="1" x14ac:dyDescent="0.3">
      <c r="A37"/>
      <c r="B37"/>
      <c r="C37"/>
      <c r="D37"/>
      <c r="E37"/>
      <c r="J37" s="159">
        <f>SUM(J21:J34)</f>
        <v>1007178.3800000001</v>
      </c>
      <c r="K37" s="170">
        <f>SUM(K21:K36)</f>
        <v>1013971.3999999999</v>
      </c>
      <c r="L37" s="171"/>
    </row>
    <row r="38" spans="1:18" ht="16.2" hidden="1" x14ac:dyDescent="0.35">
      <c r="A38"/>
      <c r="B38"/>
      <c r="C38"/>
      <c r="D38"/>
      <c r="E38"/>
      <c r="J38" s="197"/>
      <c r="K38" s="172">
        <v>0</v>
      </c>
      <c r="L38" s="173" t="s">
        <v>388</v>
      </c>
      <c r="N38" s="194">
        <f>SUM(K38:K42)</f>
        <v>-11082.92</v>
      </c>
    </row>
    <row r="39" spans="1:18" ht="16.2" hidden="1" x14ac:dyDescent="0.35">
      <c r="A39"/>
      <c r="B39"/>
      <c r="C39"/>
      <c r="D39"/>
      <c r="E39"/>
      <c r="J39" s="197"/>
      <c r="K39" s="172">
        <v>-4632.92</v>
      </c>
      <c r="L39" s="173" t="s">
        <v>389</v>
      </c>
    </row>
    <row r="40" spans="1:18" ht="16.2" hidden="1" x14ac:dyDescent="0.35">
      <c r="A40"/>
      <c r="B40"/>
      <c r="C40"/>
      <c r="D40"/>
      <c r="E40"/>
      <c r="J40" s="197"/>
      <c r="K40" s="172">
        <v>0</v>
      </c>
      <c r="L40" s="173" t="s">
        <v>390</v>
      </c>
    </row>
    <row r="41" spans="1:18" ht="16.2" hidden="1" x14ac:dyDescent="0.35">
      <c r="A41"/>
      <c r="B41"/>
      <c r="C41"/>
      <c r="D41"/>
      <c r="E41"/>
      <c r="J41" s="197"/>
      <c r="K41" s="172">
        <v>-5500</v>
      </c>
      <c r="L41" s="173" t="s">
        <v>391</v>
      </c>
    </row>
    <row r="42" spans="1:18" ht="16.2" hidden="1" x14ac:dyDescent="0.35">
      <c r="A42"/>
      <c r="B42"/>
      <c r="C42"/>
      <c r="D42"/>
      <c r="E42"/>
      <c r="J42" s="155"/>
      <c r="K42" s="172">
        <v>-950</v>
      </c>
      <c r="L42" s="173" t="s">
        <v>392</v>
      </c>
    </row>
    <row r="43" spans="1:18" ht="16.2" hidden="1" x14ac:dyDescent="0.35">
      <c r="A43"/>
      <c r="B43"/>
      <c r="C43"/>
      <c r="D43"/>
      <c r="E43"/>
      <c r="J43" s="198"/>
      <c r="K43" s="170">
        <f>SUM(K37:K42)</f>
        <v>1002888.4799999999</v>
      </c>
      <c r="L43" s="174"/>
    </row>
    <row r="44" spans="1:18" ht="16.2" hidden="1" x14ac:dyDescent="0.35">
      <c r="A44"/>
      <c r="B44"/>
      <c r="C44"/>
      <c r="D44"/>
      <c r="E44"/>
      <c r="J44" s="155"/>
      <c r="K44" s="155"/>
      <c r="L44" s="155"/>
    </row>
    <row r="45" spans="1:18" ht="16.2" hidden="1" x14ac:dyDescent="0.35">
      <c r="A45"/>
      <c r="B45"/>
      <c r="C45"/>
      <c r="D45"/>
      <c r="E45"/>
      <c r="J45" s="155"/>
      <c r="K45" s="199">
        <f>+-K43*8%</f>
        <v>-80231.078399999984</v>
      </c>
      <c r="L45" s="181" t="s">
        <v>419</v>
      </c>
      <c r="M45" s="195"/>
      <c r="N45" s="195"/>
    </row>
    <row r="46" spans="1:18" ht="16.2" hidden="1" x14ac:dyDescent="0.35">
      <c r="A46"/>
      <c r="B46"/>
      <c r="C46"/>
      <c r="D46"/>
      <c r="E46"/>
      <c r="J46" s="155"/>
      <c r="K46" s="200">
        <f>K43+K45</f>
        <v>922657.40159999987</v>
      </c>
      <c r="L46" s="201" t="s">
        <v>415</v>
      </c>
    </row>
    <row r="47" spans="1:18" ht="16.2" hidden="1" x14ac:dyDescent="0.35">
      <c r="A47"/>
      <c r="B47"/>
      <c r="C47"/>
      <c r="D47"/>
      <c r="E47"/>
      <c r="J47" s="202">
        <v>54600</v>
      </c>
      <c r="K47" s="203">
        <f>J37-K46</f>
        <v>84520.978400000255</v>
      </c>
      <c r="L47" s="155"/>
    </row>
    <row r="48" spans="1:18" ht="16.2" x14ac:dyDescent="0.35">
      <c r="A48"/>
      <c r="B48"/>
      <c r="C48"/>
      <c r="D48"/>
      <c r="E48"/>
      <c r="J48" s="202">
        <v>11340</v>
      </c>
      <c r="K48" s="155"/>
      <c r="L48" s="155"/>
    </row>
    <row r="49" spans="1:29" ht="16.2" x14ac:dyDescent="0.35">
      <c r="A49"/>
      <c r="B49"/>
      <c r="C49"/>
      <c r="D49"/>
      <c r="E49"/>
      <c r="J49" s="159">
        <f>SUM(J47:J48)</f>
        <v>65940</v>
      </c>
      <c r="K49" s="155"/>
      <c r="L49" s="155"/>
    </row>
    <row r="50" spans="1:29" ht="18" x14ac:dyDescent="0.35">
      <c r="A50"/>
      <c r="B50"/>
      <c r="C50"/>
      <c r="D50"/>
      <c r="E50"/>
      <c r="J50" s="196">
        <f>J49+J37</f>
        <v>1073118.3800000001</v>
      </c>
      <c r="K50" s="155"/>
      <c r="L50" s="155"/>
      <c r="AB50" s="616"/>
      <c r="AC50" s="617" t="s">
        <v>509</v>
      </c>
    </row>
    <row r="51" spans="1:29" ht="18" x14ac:dyDescent="0.35">
      <c r="A51"/>
      <c r="B51"/>
      <c r="C51"/>
      <c r="D51"/>
      <c r="E51"/>
      <c r="AB51" s="618">
        <f>AC17</f>
        <v>958269.6100000001</v>
      </c>
      <c r="AC51" s="617" t="s">
        <v>510</v>
      </c>
    </row>
    <row r="52" spans="1:29" ht="18" x14ac:dyDescent="0.35">
      <c r="A52"/>
      <c r="B52"/>
      <c r="C52"/>
      <c r="D52"/>
      <c r="E52"/>
      <c r="AB52" s="618">
        <f>N17-AC17</f>
        <v>89911.005314527079</v>
      </c>
      <c r="AC52" s="617" t="s">
        <v>447</v>
      </c>
    </row>
    <row r="53" spans="1:29" ht="17.25" customHeight="1" x14ac:dyDescent="0.35">
      <c r="A53"/>
      <c r="B53"/>
      <c r="C53"/>
      <c r="D53"/>
      <c r="E53"/>
      <c r="AB53" s="619">
        <f>AB52*100%/N17</f>
        <v>8.5778160749087617E-2</v>
      </c>
      <c r="AC53" s="620"/>
    </row>
    <row r="54" spans="1:29" x14ac:dyDescent="0.3">
      <c r="A54"/>
      <c r="B54"/>
      <c r="C54"/>
      <c r="D54"/>
      <c r="E54"/>
    </row>
    <row r="55" spans="1:29" x14ac:dyDescent="0.3">
      <c r="A55"/>
      <c r="B55"/>
      <c r="C55"/>
      <c r="D55"/>
      <c r="E55"/>
    </row>
    <row r="56" spans="1:29" x14ac:dyDescent="0.3">
      <c r="A56"/>
      <c r="B56"/>
      <c r="C56"/>
      <c r="D56"/>
      <c r="E56"/>
    </row>
    <row r="57" spans="1:29" x14ac:dyDescent="0.3">
      <c r="A57"/>
      <c r="B57"/>
      <c r="C57"/>
      <c r="D57"/>
      <c r="E57"/>
    </row>
  </sheetData>
  <mergeCells count="14">
    <mergeCell ref="K20:L20"/>
    <mergeCell ref="AK12:AL12"/>
    <mergeCell ref="AG12:AH12"/>
    <mergeCell ref="AC12:AE12"/>
    <mergeCell ref="F15:N15"/>
    <mergeCell ref="Q15:Y15"/>
    <mergeCell ref="AB15:AC15"/>
    <mergeCell ref="AB16:AC16"/>
    <mergeCell ref="F1:G1"/>
    <mergeCell ref="F2:G2"/>
    <mergeCell ref="Q12:T12"/>
    <mergeCell ref="U12:X12"/>
    <mergeCell ref="F16:K16"/>
    <mergeCell ref="Q16:Y16"/>
  </mergeCells>
  <phoneticPr fontId="36" type="noConversion"/>
  <dataValidations count="2">
    <dataValidation type="list" allowBlank="1" showInputMessage="1" showErrorMessage="1" sqref="D17" xr:uid="{422BB602-A7ED-4EB8-B830-B989A9136BCA}">
      <formula1>"INTERNO,OPERACIONAL"</formula1>
    </dataValidation>
    <dataValidation type="list" allowBlank="1" showInputMessage="1" showErrorMessage="1" sqref="E17" xr:uid="{5E61D92F-56CB-4450-B874-3D20AAB1D14D}">
      <formula1>"FAT.OGGI,FAT.CLIENTE"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D2AF2-689E-43AF-B882-C3F4FE10CC6D}">
  <sheetPr codeName="Planilha16">
    <pageSetUpPr autoPageBreaks="0"/>
  </sheetPr>
  <dimension ref="A1:AP31"/>
  <sheetViews>
    <sheetView showGridLines="0" topLeftCell="G1" zoomScale="60" zoomScaleNormal="60" workbookViewId="0">
      <pane ySplit="1" topLeftCell="A20" activePane="bottomLeft" state="frozen"/>
      <selection pane="bottomLeft" activeCell="AO28" sqref="AO28:AP31"/>
    </sheetView>
  </sheetViews>
  <sheetFormatPr defaultColWidth="8.88671875" defaultRowHeight="18" x14ac:dyDescent="0.35"/>
  <cols>
    <col min="1" max="1" width="6.109375" style="212" hidden="1" customWidth="1"/>
    <col min="2" max="2" width="9.33203125" style="212" customWidth="1"/>
    <col min="3" max="3" width="7.88671875" style="212" hidden="1" customWidth="1"/>
    <col min="4" max="4" width="15.44140625" style="212" hidden="1" customWidth="1"/>
    <col min="5" max="5" width="14.88671875" style="212" hidden="1" customWidth="1"/>
    <col min="6" max="6" width="44.44140625" style="212" customWidth="1"/>
    <col min="7" max="7" width="76.44140625" style="212" customWidth="1"/>
    <col min="8" max="8" width="7.109375" style="215" hidden="1" customWidth="1"/>
    <col min="9" max="9" width="7.88671875" style="215" hidden="1" customWidth="1"/>
    <col min="10" max="10" width="25.109375" style="212" hidden="1" customWidth="1"/>
    <col min="11" max="11" width="26.88671875" style="212" bestFit="1" customWidth="1"/>
    <col min="12" max="12" width="21.44140625" style="212" bestFit="1" customWidth="1"/>
    <col min="13" max="13" width="23.109375" style="212" bestFit="1" customWidth="1"/>
    <col min="14" max="14" width="26.88671875" style="212" bestFit="1" customWidth="1"/>
    <col min="15" max="15" width="7.88671875" style="287" hidden="1" customWidth="1"/>
    <col min="16" max="16" width="1.88671875" style="212" hidden="1" customWidth="1"/>
    <col min="17" max="17" width="8.44140625" style="215" customWidth="1"/>
    <col min="18" max="18" width="8.44140625" style="215" hidden="1" customWidth="1"/>
    <col min="19" max="19" width="19.44140625" style="212" hidden="1" customWidth="1"/>
    <col min="20" max="20" width="26.88671875" style="212" bestFit="1" customWidth="1"/>
    <col min="21" max="21" width="24.88671875" style="212" hidden="1" customWidth="1"/>
    <col min="22" max="22" width="9.88671875" style="212" hidden="1" customWidth="1"/>
    <col min="23" max="23" width="16.109375" style="212" hidden="1" customWidth="1"/>
    <col min="24" max="24" width="27.109375" style="212" bestFit="1" customWidth="1"/>
    <col min="25" max="25" width="26.88671875" style="212" hidden="1" customWidth="1"/>
    <col min="26" max="26" width="20.88671875" style="212" hidden="1" customWidth="1"/>
    <col min="27" max="27" width="24.88671875" style="212" hidden="1" customWidth="1"/>
    <col min="28" max="28" width="38.109375" style="212" hidden="1" customWidth="1"/>
    <col min="29" max="29" width="14.109375" style="212" hidden="1" customWidth="1"/>
    <col min="30" max="30" width="7.88671875" style="212" hidden="1" customWidth="1"/>
    <col min="31" max="31" width="6.88671875" style="212" hidden="1" customWidth="1"/>
    <col min="32" max="32" width="1.109375" style="212" hidden="1" customWidth="1"/>
    <col min="33" max="33" width="14" style="212" hidden="1" customWidth="1"/>
    <col min="34" max="34" width="11.88671875" style="212" hidden="1" customWidth="1"/>
    <col min="35" max="35" width="6.109375" style="212" hidden="1" customWidth="1"/>
    <col min="36" max="36" width="12.88671875" style="212" hidden="1" customWidth="1"/>
    <col min="37" max="37" width="13.109375" style="212" hidden="1" customWidth="1"/>
    <col min="38" max="38" width="13.5546875" style="212" hidden="1" customWidth="1"/>
    <col min="39" max="39" width="0" style="212" hidden="1" customWidth="1"/>
    <col min="40" max="40" width="21.109375" style="212" customWidth="1"/>
    <col min="41" max="41" width="21.88671875" style="212" customWidth="1"/>
    <col min="42" max="42" width="8.88671875" style="216"/>
    <col min="43" max="16384" width="8.88671875" style="212"/>
  </cols>
  <sheetData>
    <row r="1" spans="1:41" ht="49.5" customHeight="1" x14ac:dyDescent="0.35">
      <c r="B1" s="213"/>
      <c r="C1" s="214"/>
      <c r="D1" s="214"/>
      <c r="F1" s="700" t="s">
        <v>112</v>
      </c>
      <c r="G1" s="700"/>
    </row>
    <row r="2" spans="1:41" ht="24.75" customHeight="1" x14ac:dyDescent="0.35">
      <c r="B2" s="215"/>
      <c r="D2" s="214"/>
      <c r="F2" s="701" t="s">
        <v>0</v>
      </c>
      <c r="G2" s="701"/>
    </row>
    <row r="3" spans="1:41" x14ac:dyDescent="0.35">
      <c r="B3" s="217"/>
      <c r="F3" s="28"/>
      <c r="G3" s="28"/>
    </row>
    <row r="4" spans="1:41" x14ac:dyDescent="0.35">
      <c r="F4" s="35" t="s">
        <v>121</v>
      </c>
      <c r="G4" s="46" t="s">
        <v>123</v>
      </c>
    </row>
    <row r="5" spans="1:41" x14ac:dyDescent="0.35">
      <c r="F5" s="36" t="s">
        <v>120</v>
      </c>
      <c r="G5" s="47" t="s">
        <v>122</v>
      </c>
    </row>
    <row r="6" spans="1:41" x14ac:dyDescent="0.35">
      <c r="D6" s="212" t="s">
        <v>99</v>
      </c>
      <c r="F6" s="36" t="s">
        <v>119</v>
      </c>
      <c r="G6" s="48" t="s">
        <v>124</v>
      </c>
    </row>
    <row r="7" spans="1:41" ht="21.75" customHeight="1" x14ac:dyDescent="0.35">
      <c r="F7" s="36" t="s">
        <v>118</v>
      </c>
      <c r="G7" s="48" t="s">
        <v>125</v>
      </c>
      <c r="J7" s="212" t="s">
        <v>111</v>
      </c>
    </row>
    <row r="8" spans="1:41" x14ac:dyDescent="0.35">
      <c r="F8" s="36" t="s">
        <v>114</v>
      </c>
      <c r="G8" s="63" t="s">
        <v>147</v>
      </c>
    </row>
    <row r="9" spans="1:41" x14ac:dyDescent="0.35">
      <c r="F9" s="36" t="s">
        <v>115</v>
      </c>
      <c r="G9" s="48" t="s">
        <v>113</v>
      </c>
      <c r="J9" s="212" t="s">
        <v>99</v>
      </c>
    </row>
    <row r="10" spans="1:41" ht="27" customHeight="1" x14ac:dyDescent="0.35">
      <c r="F10" s="36" t="s">
        <v>116</v>
      </c>
      <c r="G10" s="48" t="s">
        <v>126</v>
      </c>
    </row>
    <row r="11" spans="1:41" x14ac:dyDescent="0.35">
      <c r="F11" s="37" t="s">
        <v>117</v>
      </c>
      <c r="G11" s="49" t="s">
        <v>127</v>
      </c>
    </row>
    <row r="12" spans="1:41" ht="54.6" hidden="1" thickBot="1" x14ac:dyDescent="0.4">
      <c r="B12" s="218"/>
      <c r="M12" s="219"/>
      <c r="Q12" s="702" t="s">
        <v>1</v>
      </c>
      <c r="R12" s="703"/>
      <c r="S12" s="703"/>
      <c r="T12" s="704"/>
      <c r="U12" s="715" t="s">
        <v>2</v>
      </c>
      <c r="V12" s="716"/>
      <c r="W12" s="716"/>
      <c r="X12" s="717"/>
      <c r="Y12" s="220" t="s">
        <v>48</v>
      </c>
      <c r="Z12" s="221">
        <f>(1/(1-M14))-1</f>
        <v>0.24269914253759173</v>
      </c>
      <c r="AC12" s="718" t="s">
        <v>3</v>
      </c>
      <c r="AD12" s="719"/>
      <c r="AE12" s="720"/>
      <c r="AG12" s="721" t="s">
        <v>50</v>
      </c>
      <c r="AH12" s="722"/>
      <c r="AJ12" s="222" t="s">
        <v>52</v>
      </c>
      <c r="AK12" s="705" t="s">
        <v>51</v>
      </c>
      <c r="AL12" s="706"/>
    </row>
    <row r="13" spans="1:41" ht="18.600000000000001" thickBot="1" x14ac:dyDescent="0.4">
      <c r="A13" s="223" t="s">
        <v>4</v>
      </c>
      <c r="B13" s="224" t="s">
        <v>5</v>
      </c>
      <c r="C13" s="223" t="s">
        <v>6</v>
      </c>
      <c r="D13" s="223" t="s">
        <v>7</v>
      </c>
      <c r="E13" s="223" t="s">
        <v>8</v>
      </c>
      <c r="M13" s="225">
        <v>0.80469999999999997</v>
      </c>
    </row>
    <row r="14" spans="1:41" ht="54.6" thickBot="1" x14ac:dyDescent="0.4">
      <c r="A14" s="226">
        <v>0</v>
      </c>
      <c r="B14" s="227"/>
      <c r="C14" s="228"/>
      <c r="D14" s="229"/>
      <c r="E14" s="229"/>
      <c r="F14" s="230" t="s">
        <v>76</v>
      </c>
      <c r="G14" s="531" t="s">
        <v>77</v>
      </c>
      <c r="H14" s="231" t="s">
        <v>78</v>
      </c>
      <c r="I14" s="231" t="s">
        <v>79</v>
      </c>
      <c r="J14" s="232" t="s">
        <v>80</v>
      </c>
      <c r="K14" s="233" t="s">
        <v>9</v>
      </c>
      <c r="L14" s="234">
        <v>7.4999999999999997E-2</v>
      </c>
      <c r="M14" s="235">
        <f>1-M13</f>
        <v>0.19530000000000003</v>
      </c>
      <c r="N14" s="236" t="s">
        <v>74</v>
      </c>
      <c r="Q14" s="237" t="s">
        <v>81</v>
      </c>
      <c r="R14" s="238" t="s">
        <v>82</v>
      </c>
      <c r="S14" s="239" t="s">
        <v>83</v>
      </c>
      <c r="T14" s="240" t="s">
        <v>84</v>
      </c>
      <c r="U14" s="241" t="s">
        <v>85</v>
      </c>
      <c r="V14" s="242" t="s">
        <v>86</v>
      </c>
      <c r="W14" s="243" t="s">
        <v>87</v>
      </c>
      <c r="X14" s="243" t="s">
        <v>88</v>
      </c>
      <c r="Y14" s="244" t="s">
        <v>89</v>
      </c>
      <c r="Z14" s="245" t="s">
        <v>90</v>
      </c>
      <c r="AA14" s="246" t="s">
        <v>75</v>
      </c>
      <c r="AC14" s="254" t="s">
        <v>91</v>
      </c>
      <c r="AD14" s="255" t="s">
        <v>92</v>
      </c>
      <c r="AE14" s="255" t="s">
        <v>32</v>
      </c>
      <c r="AG14" s="256" t="s">
        <v>93</v>
      </c>
      <c r="AH14" s="257" t="s">
        <v>94</v>
      </c>
      <c r="AK14" s="258" t="s">
        <v>95</v>
      </c>
      <c r="AL14" s="259" t="s">
        <v>96</v>
      </c>
      <c r="AN14" s="365" t="s">
        <v>95</v>
      </c>
      <c r="AO14" s="366" t="s">
        <v>96</v>
      </c>
    </row>
    <row r="15" spans="1:41" ht="30" customHeight="1" thickBot="1" x14ac:dyDescent="0.5">
      <c r="A15" s="229">
        <v>1</v>
      </c>
      <c r="B15" s="247">
        <v>1</v>
      </c>
      <c r="C15" s="248" t="s">
        <v>128</v>
      </c>
      <c r="D15" s="229"/>
      <c r="E15" s="229"/>
      <c r="F15" s="707" t="s">
        <v>233</v>
      </c>
      <c r="G15" s="708"/>
      <c r="H15" s="708"/>
      <c r="I15" s="708"/>
      <c r="J15" s="708"/>
      <c r="K15" s="708"/>
      <c r="L15" s="708"/>
      <c r="M15" s="708"/>
      <c r="N15" s="709"/>
      <c r="Q15" s="710" t="str">
        <f>IF(F15&lt;&gt;"",F15,"")</f>
        <v>Opcionais</v>
      </c>
      <c r="R15" s="711"/>
      <c r="S15" s="711"/>
      <c r="T15" s="711"/>
      <c r="U15" s="711"/>
      <c r="V15" s="711"/>
      <c r="W15" s="711"/>
      <c r="X15" s="711"/>
      <c r="Y15" s="712"/>
      <c r="AN15" s="629"/>
      <c r="AO15" s="630"/>
    </row>
    <row r="16" spans="1:41" ht="30" customHeight="1" x14ac:dyDescent="0.45">
      <c r="A16" s="229">
        <v>2</v>
      </c>
      <c r="B16" s="247" t="s">
        <v>130</v>
      </c>
      <c r="C16" s="248" t="s">
        <v>129</v>
      </c>
      <c r="D16" s="229"/>
      <c r="E16" s="229"/>
      <c r="F16" s="683" t="s">
        <v>233</v>
      </c>
      <c r="G16" s="684"/>
      <c r="H16" s="684"/>
      <c r="I16" s="684"/>
      <c r="J16" s="684"/>
      <c r="K16" s="713"/>
      <c r="L16" s="249" t="s">
        <v>131</v>
      </c>
      <c r="M16" s="250" t="s">
        <v>132</v>
      </c>
      <c r="N16" s="251" t="s">
        <v>74</v>
      </c>
      <c r="Q16" s="683" t="str">
        <f>IF(F16&lt;&gt;"",F16,"")</f>
        <v>Opcionais</v>
      </c>
      <c r="R16" s="684"/>
      <c r="S16" s="684"/>
      <c r="T16" s="684"/>
      <c r="U16" s="684"/>
      <c r="V16" s="684"/>
      <c r="W16" s="684"/>
      <c r="X16" s="684"/>
      <c r="Y16" s="714"/>
      <c r="Z16" s="252" t="s">
        <v>133</v>
      </c>
      <c r="AA16" s="253" t="s">
        <v>75</v>
      </c>
      <c r="AN16" s="631"/>
      <c r="AO16" s="632"/>
    </row>
    <row r="17" spans="1:42" ht="60" customHeight="1" x14ac:dyDescent="0.4">
      <c r="A17" s="229">
        <v>3</v>
      </c>
      <c r="B17" s="247" t="s">
        <v>135</v>
      </c>
      <c r="C17" s="248" t="s">
        <v>134</v>
      </c>
      <c r="D17" s="229" t="s">
        <v>157</v>
      </c>
      <c r="E17" s="229" t="s">
        <v>154</v>
      </c>
      <c r="F17" s="260" t="s">
        <v>266</v>
      </c>
      <c r="G17" s="285" t="s">
        <v>315</v>
      </c>
      <c r="H17" s="261">
        <v>16</v>
      </c>
      <c r="I17" s="262">
        <v>1</v>
      </c>
      <c r="J17" s="272">
        <v>508</v>
      </c>
      <c r="K17" s="274">
        <f>IF(F17&lt;&gt;"",H17*I17*J17,"")</f>
        <v>8128</v>
      </c>
      <c r="L17" s="274">
        <f>IF(K17&lt;&gt;"",IF(D17="INTERNO",0,K17*'Oper. Extras Estandes - ND'!$L$14),"")</f>
        <v>406.40000000000003</v>
      </c>
      <c r="M17" s="274">
        <f>IF(K17&lt;&gt;"",IF(E17="FAT.OGGI",SUM(K17:L17)*(1/(1-'Oper. Extras Estandes - ND'!$M$14)-1),L17*(1/(1-'Oper. Extras Estandes - ND'!$M$14)-1)),0)</f>
        <v>2071.2915620728227</v>
      </c>
      <c r="N17" s="275">
        <f>SUM(K17:M17)</f>
        <v>10605.691562072821</v>
      </c>
      <c r="O17" s="284"/>
      <c r="Q17" s="276">
        <f>IF(H17&lt;&gt;"",H17,"")</f>
        <v>16</v>
      </c>
      <c r="R17" s="277">
        <f>IF(I17&lt;&gt;"",I17,"")</f>
        <v>1</v>
      </c>
      <c r="S17" s="278">
        <v>508</v>
      </c>
      <c r="T17" s="293">
        <v>0</v>
      </c>
      <c r="U17" s="279">
        <f>IF(Q17&lt;&gt;"",K17-T17,"")</f>
        <v>8128</v>
      </c>
      <c r="V17" s="280">
        <f>IF(Q17&lt;&gt;"",0%,"")</f>
        <v>0</v>
      </c>
      <c r="W17" s="281">
        <f>IF(Q17&lt;&gt;"",V17*U17,"")</f>
        <v>0</v>
      </c>
      <c r="X17" s="281">
        <f>IF(Q17&lt;&gt;"",W17+T17,"")</f>
        <v>0</v>
      </c>
      <c r="Y17" s="282">
        <f>IF(Q17&lt;&gt;"",X17+M17,"")</f>
        <v>2071.2915620728227</v>
      </c>
      <c r="Z17" s="270">
        <f>IF(Q17&lt;&gt;"", IFERROR(U17/K17, 0), 0)</f>
        <v>1</v>
      </c>
      <c r="AA17" s="271">
        <f>IFERROR(T17/'Oper. Extras Estandes - ND'!$T$27, "")</f>
        <v>0</v>
      </c>
      <c r="AN17" s="518">
        <f>X17-AO17</f>
        <v>0</v>
      </c>
      <c r="AO17" s="519"/>
    </row>
    <row r="18" spans="1:42" ht="60" customHeight="1" x14ac:dyDescent="0.4">
      <c r="A18" s="229">
        <v>4</v>
      </c>
      <c r="B18" s="247" t="s">
        <v>97</v>
      </c>
      <c r="C18" s="248" t="s">
        <v>134</v>
      </c>
      <c r="D18" s="229" t="s">
        <v>157</v>
      </c>
      <c r="E18" s="229" t="s">
        <v>145</v>
      </c>
      <c r="F18" s="532" t="s">
        <v>271</v>
      </c>
      <c r="G18" s="533" t="s">
        <v>437</v>
      </c>
      <c r="H18" s="534">
        <v>1</v>
      </c>
      <c r="I18" s="534">
        <v>1</v>
      </c>
      <c r="J18" s="288">
        <v>450</v>
      </c>
      <c r="K18" s="288">
        <f>IF(F18&lt;&gt;"",H18*I18*J18,"")</f>
        <v>450</v>
      </c>
      <c r="L18" s="535">
        <v>33.75</v>
      </c>
      <c r="M18" s="288">
        <v>117.40571020256</v>
      </c>
      <c r="N18" s="536">
        <f>SUM(K18:M18)</f>
        <v>601.15571020256004</v>
      </c>
      <c r="O18" s="284"/>
      <c r="Q18" s="276">
        <f>IF(H18&lt;&gt;"",H18,"")</f>
        <v>1</v>
      </c>
      <c r="R18" s="277">
        <f>IF(I18&lt;&gt;"",I18,"")</f>
        <v>1</v>
      </c>
      <c r="S18" s="278">
        <v>450</v>
      </c>
      <c r="T18" s="293">
        <f>IF(Q18&lt;&gt;"",Q18*R18*S18,"")</f>
        <v>450</v>
      </c>
      <c r="U18" s="279">
        <f>IF(Q18&lt;&gt;"",K18-T18,"")</f>
        <v>0</v>
      </c>
      <c r="V18" s="280">
        <f>IF(Q18&lt;&gt;"",0%,"")</f>
        <v>0</v>
      </c>
      <c r="W18" s="281">
        <f>IF(Q18&lt;&gt;"",V18*U18,"")</f>
        <v>0</v>
      </c>
      <c r="X18" s="281">
        <f>IF(Q18&lt;&gt;"",W18+T18,"")</f>
        <v>450</v>
      </c>
      <c r="Y18" s="282">
        <f>IF(Q18&lt;&gt;"",X18+M18,"")</f>
        <v>567.40571020256004</v>
      </c>
      <c r="Z18" s="270">
        <f>IF(Q18&lt;&gt;"", IFERROR(U18/K18, 0), 0)</f>
        <v>0</v>
      </c>
      <c r="AA18" s="271">
        <f>IFERROR(T18/$T$24, "")</f>
        <v>8.1970199278662247E-3</v>
      </c>
      <c r="AN18" s="518">
        <f t="shared" ref="AN18:AN23" si="0">X18-AO18</f>
        <v>0</v>
      </c>
      <c r="AO18" s="519">
        <v>450</v>
      </c>
      <c r="AP18" s="216" t="s">
        <v>474</v>
      </c>
    </row>
    <row r="19" spans="1:42" ht="60" customHeight="1" x14ac:dyDescent="0.4">
      <c r="A19" s="229">
        <v>5</v>
      </c>
      <c r="B19" s="247" t="s">
        <v>136</v>
      </c>
      <c r="C19" s="248" t="s">
        <v>134</v>
      </c>
      <c r="D19" s="229" t="s">
        <v>157</v>
      </c>
      <c r="E19" s="229" t="s">
        <v>154</v>
      </c>
      <c r="F19" s="291" t="s">
        <v>283</v>
      </c>
      <c r="G19" s="292" t="s">
        <v>438</v>
      </c>
      <c r="H19" s="289">
        <v>1</v>
      </c>
      <c r="I19" s="289">
        <v>1</v>
      </c>
      <c r="J19" s="274">
        <v>45000</v>
      </c>
      <c r="K19" s="274">
        <f t="shared" ref="K19" si="1">IF(F19&lt;&gt;"",H19*I19*J19,"")</f>
        <v>45000</v>
      </c>
      <c r="L19" s="274">
        <f t="shared" ref="L19" si="2">IF(K19&lt;&gt;"",IF(D19="INTERNO",0,K19*$L$14),"")</f>
        <v>3375</v>
      </c>
      <c r="M19" s="274">
        <f t="shared" ref="M19" si="3">IF(K19&lt;&gt;"",IF(E19="FAT.OGGI",SUM(K19:L19)*(1/(1-$M$14)-1),L19*(1/(1-$M$14)-1)),0)</f>
        <v>11740.571020256</v>
      </c>
      <c r="N19" s="275">
        <f t="shared" ref="N19" si="4">SUM(K19:M19)</f>
        <v>60115.571020256</v>
      </c>
      <c r="O19" s="284"/>
      <c r="Q19" s="276">
        <f t="shared" ref="Q19:R19" si="5">IF(H19&lt;&gt;"",H19,"")</f>
        <v>1</v>
      </c>
      <c r="R19" s="277">
        <f t="shared" si="5"/>
        <v>1</v>
      </c>
      <c r="S19" s="278">
        <v>39000</v>
      </c>
      <c r="T19" s="293">
        <f t="shared" ref="T19" si="6">IF(Q19&lt;&gt;"",Q19*R19*S19,"")</f>
        <v>39000</v>
      </c>
      <c r="U19" s="279">
        <f t="shared" ref="U19" si="7">IF(Q19&lt;&gt;"",K19-T19,"")</f>
        <v>6000</v>
      </c>
      <c r="V19" s="280">
        <f t="shared" ref="V19" si="8">IF(Q19&lt;&gt;"",0%,"")</f>
        <v>0</v>
      </c>
      <c r="W19" s="281">
        <f t="shared" ref="W19" si="9">IF(Q19&lt;&gt;"",V19*U19,"")</f>
        <v>0</v>
      </c>
      <c r="X19" s="281">
        <f t="shared" ref="X19" si="10">IF(Q19&lt;&gt;"",W19+T19,"")</f>
        <v>39000</v>
      </c>
      <c r="Y19" s="282">
        <f t="shared" ref="Y19" si="11">IF(Q19&lt;&gt;"",X19+M19,"")</f>
        <v>50740.571020256</v>
      </c>
      <c r="Z19" s="295">
        <f t="shared" ref="Z19" si="12">IF(Q19&lt;&gt;"", IFERROR(U19/K19, 0), 0)</f>
        <v>0.13333333333333333</v>
      </c>
      <c r="AA19" s="296">
        <f>IFERROR(T19/$T$24, "")</f>
        <v>0.71040839374840614</v>
      </c>
      <c r="AN19" s="518">
        <f t="shared" si="0"/>
        <v>0</v>
      </c>
      <c r="AO19" s="519">
        <f>4000+35000</f>
        <v>39000</v>
      </c>
      <c r="AP19" s="216" t="s">
        <v>482</v>
      </c>
    </row>
    <row r="20" spans="1:42" ht="60" customHeight="1" x14ac:dyDescent="0.4">
      <c r="A20" s="229">
        <v>6</v>
      </c>
      <c r="B20" s="247" t="s">
        <v>137</v>
      </c>
      <c r="C20" s="248" t="s">
        <v>134</v>
      </c>
      <c r="D20" s="229" t="s">
        <v>157</v>
      </c>
      <c r="E20" s="229" t="s">
        <v>154</v>
      </c>
      <c r="F20" s="283" t="s">
        <v>146</v>
      </c>
      <c r="G20" s="273" t="s">
        <v>439</v>
      </c>
      <c r="H20" s="537">
        <v>27</v>
      </c>
      <c r="I20" s="538">
        <v>1</v>
      </c>
      <c r="J20" s="539">
        <v>120</v>
      </c>
      <c r="K20" s="288">
        <f>IF(F20&lt;&gt;"",H20*I20*J20,"")</f>
        <v>3240</v>
      </c>
      <c r="L20" s="288">
        <f>IF(K20&lt;&gt;"",IF(D20="INTERNO",0,K20*$L$14),"")</f>
        <v>243</v>
      </c>
      <c r="M20" s="288">
        <f>IF(K20&lt;&gt;"",IF(E20="FAT.OGGI",SUM(K20:L20)*(1/(1-$M$14)-1),L20*(1/(1-$M$14)-1)),0)</f>
        <v>845.32111345843202</v>
      </c>
      <c r="N20" s="536">
        <f>SUM(K20:M20)</f>
        <v>4328.3211134584317</v>
      </c>
      <c r="O20" s="284"/>
      <c r="Q20" s="263">
        <v>24</v>
      </c>
      <c r="R20" s="264">
        <f>IF(I20&lt;&gt;"",I20,"")</f>
        <v>1</v>
      </c>
      <c r="S20" s="265">
        <v>120</v>
      </c>
      <c r="T20" s="294">
        <v>10948</v>
      </c>
      <c r="U20" s="266">
        <f>IF(Q20&lt;&gt;"",K20-T20,"")</f>
        <v>-7708</v>
      </c>
      <c r="V20" s="267">
        <f>IF(Q20&lt;&gt;"",0%,"")</f>
        <v>0</v>
      </c>
      <c r="W20" s="268">
        <f>IF(Q20&lt;&gt;"",V20*U20,"")</f>
        <v>0</v>
      </c>
      <c r="X20" s="268">
        <f>IF(Q20&lt;&gt;"",W20+T20,"")</f>
        <v>10948</v>
      </c>
      <c r="Y20" s="269">
        <f>IF(Q20&lt;&gt;"",X20+N20,"")</f>
        <v>15276.321113458431</v>
      </c>
      <c r="Z20" s="270">
        <f>IF(Q20&lt;&gt;"", IFERROR(U20/K20, 0), 0)</f>
        <v>-2.3790123456790124</v>
      </c>
      <c r="AA20" s="271" t="str">
        <f>IFERROR(T20/#REF!, "")</f>
        <v/>
      </c>
      <c r="AN20" s="518">
        <f t="shared" si="0"/>
        <v>0</v>
      </c>
      <c r="AO20" s="519">
        <f>2820+8128</f>
        <v>10948</v>
      </c>
      <c r="AP20" s="216" t="s">
        <v>496</v>
      </c>
    </row>
    <row r="21" spans="1:42" ht="60" customHeight="1" x14ac:dyDescent="0.4">
      <c r="A21" s="229">
        <v>7</v>
      </c>
      <c r="B21" s="247" t="s">
        <v>138</v>
      </c>
      <c r="C21" s="248" t="s">
        <v>134</v>
      </c>
      <c r="D21" s="229" t="s">
        <v>157</v>
      </c>
      <c r="E21" s="229" t="s">
        <v>154</v>
      </c>
      <c r="F21" s="540" t="s">
        <v>299</v>
      </c>
      <c r="G21" s="505" t="s">
        <v>300</v>
      </c>
      <c r="H21" s="506">
        <v>7</v>
      </c>
      <c r="I21" s="506">
        <v>1</v>
      </c>
      <c r="J21" s="286">
        <v>539</v>
      </c>
      <c r="K21" s="507">
        <f>IF(F21&lt;&gt;"",H21*I21*J21,"")</f>
        <v>3773</v>
      </c>
      <c r="L21" s="507">
        <f>IF(K21&lt;&gt;"",IF(D21="INTERNO",0,K21*'EXTRAS 2'!$L$14),"")</f>
        <v>282.97499999999997</v>
      </c>
      <c r="M21" s="507">
        <f>IF(K21&lt;&gt;"",IF(E21="FAT.OGGI",SUM(K21:L21)*(1/(1-'EXTRAS 2'!$M$14)-1),L21*(1/(1-'EXTRAS 2'!$M$14)-1)),0)</f>
        <v>984.38165465390864</v>
      </c>
      <c r="N21" s="541">
        <f>SUM(K21:M21)</f>
        <v>5040.3566546539087</v>
      </c>
      <c r="O21" s="284"/>
      <c r="Q21" s="276">
        <f>IF(H21&lt;&gt;"",H21,"")</f>
        <v>7</v>
      </c>
      <c r="R21" s="277">
        <f>IF(I21&lt;&gt;"",I21,"")</f>
        <v>1</v>
      </c>
      <c r="S21" s="278">
        <v>539</v>
      </c>
      <c r="T21" s="293">
        <v>0</v>
      </c>
      <c r="U21" s="279">
        <f>IF(Q21&lt;&gt;"",K21-T21,"")</f>
        <v>3773</v>
      </c>
      <c r="V21" s="280">
        <f>IF(Q21&lt;&gt;"",0%,"")</f>
        <v>0</v>
      </c>
      <c r="W21" s="281">
        <f>IF(Q21&lt;&gt;"",V21*U21,"")</f>
        <v>0</v>
      </c>
      <c r="X21" s="281">
        <f>IF(Q21&lt;&gt;"",W21+T21,"")</f>
        <v>0</v>
      </c>
      <c r="Y21" s="282">
        <f>IF(Q21&lt;&gt;"",X21+M21,"")</f>
        <v>984.38165465390864</v>
      </c>
      <c r="Z21" s="270">
        <f>IF(Q21&lt;&gt;"", IFERROR(U21/K21, 0), 0)</f>
        <v>1</v>
      </c>
      <c r="AA21" s="508"/>
      <c r="AN21" s="518">
        <f t="shared" si="0"/>
        <v>0</v>
      </c>
      <c r="AO21" s="519"/>
    </row>
    <row r="22" spans="1:42" ht="60" customHeight="1" x14ac:dyDescent="0.4">
      <c r="A22" s="229">
        <v>8</v>
      </c>
      <c r="B22" s="247" t="s">
        <v>139</v>
      </c>
      <c r="C22" s="248" t="s">
        <v>134</v>
      </c>
      <c r="D22" s="229" t="s">
        <v>157</v>
      </c>
      <c r="E22" s="229" t="s">
        <v>154</v>
      </c>
      <c r="F22" s="540" t="s">
        <v>303</v>
      </c>
      <c r="G22" s="505" t="s">
        <v>304</v>
      </c>
      <c r="H22" s="506">
        <v>3</v>
      </c>
      <c r="I22" s="506">
        <v>1</v>
      </c>
      <c r="J22" s="286">
        <v>1650</v>
      </c>
      <c r="K22" s="507">
        <f>IF(F22&lt;&gt;"",H22*I22*J22,"")</f>
        <v>4950</v>
      </c>
      <c r="L22" s="507">
        <f>IF(K22&lt;&gt;"",IF(D22="INTERNO",0,K22*'EXTRAS 2'!$L$14),"")</f>
        <v>371.25</v>
      </c>
      <c r="M22" s="507">
        <f>IF(K22&lt;&gt;"",IF(E22="FAT.OGGI",SUM(K22:L22)*(1/(1-'EXTRAS 2'!$M$14)-1),L22*(1/(1-'EXTRAS 2'!$M$14)-1)),0)</f>
        <v>1291.4628122281599</v>
      </c>
      <c r="N22" s="541">
        <f>SUM(K22:M22)</f>
        <v>6612.7128122281601</v>
      </c>
      <c r="O22" s="284"/>
      <c r="Q22" s="276">
        <f>IF(H22&lt;&gt;"",H22,"")</f>
        <v>3</v>
      </c>
      <c r="R22" s="277">
        <v>1</v>
      </c>
      <c r="S22" s="278">
        <v>1500</v>
      </c>
      <c r="T22" s="290">
        <f>IF(Q22&lt;&gt;"",Q22*R22*S22,"")</f>
        <v>4500</v>
      </c>
      <c r="U22" s="279">
        <f>IF(Q22&lt;&gt;"",K22-T22,"")</f>
        <v>450</v>
      </c>
      <c r="V22" s="280">
        <f>IF(Q22&lt;&gt;"",0%,"")</f>
        <v>0</v>
      </c>
      <c r="W22" s="281">
        <f>IF(Q22&lt;&gt;"",V22*U22,"")</f>
        <v>0</v>
      </c>
      <c r="X22" s="281">
        <f>IF(Q22&lt;&gt;"",W22+T22,"")</f>
        <v>4500</v>
      </c>
      <c r="Y22" s="282">
        <f>IF(Q22&lt;&gt;"",X22+M22,"")</f>
        <v>5791.4628122281601</v>
      </c>
      <c r="Z22" s="270">
        <f>IF(Q22&lt;&gt;"", IFERROR(U22/K22, 0), 0)</f>
        <v>9.0909090909090912E-2</v>
      </c>
      <c r="AA22" s="508"/>
      <c r="AN22" s="518">
        <f t="shared" si="0"/>
        <v>0</v>
      </c>
      <c r="AO22" s="519">
        <v>4500</v>
      </c>
      <c r="AP22" s="216" t="s">
        <v>487</v>
      </c>
    </row>
    <row r="23" spans="1:42" ht="60" customHeight="1" thickBot="1" x14ac:dyDescent="0.45">
      <c r="A23" s="229">
        <v>9</v>
      </c>
      <c r="B23" s="247" t="s">
        <v>140</v>
      </c>
      <c r="C23" s="248" t="s">
        <v>134</v>
      </c>
      <c r="D23" s="229" t="s">
        <v>157</v>
      </c>
      <c r="E23" s="229" t="s">
        <v>154</v>
      </c>
      <c r="F23" s="540" t="s">
        <v>301</v>
      </c>
      <c r="G23" s="505" t="s">
        <v>302</v>
      </c>
      <c r="H23" s="506">
        <v>9</v>
      </c>
      <c r="I23" s="506">
        <v>2</v>
      </c>
      <c r="J23" s="286">
        <v>97.5</v>
      </c>
      <c r="K23" s="507">
        <f>IF(F23&lt;&gt;"",H23*I23*J23,"")</f>
        <v>1755</v>
      </c>
      <c r="L23" s="507">
        <f>IF(K23&lt;&gt;"",IF(D23="INTERNO",0,K23*'EXTRAS 2'!$L$14),"")</f>
        <v>131.625</v>
      </c>
      <c r="M23" s="507">
        <f>IF(K23&lt;&gt;"",IF(E23="FAT.OGGI",SUM(K23:L23)*(1/(1-'EXTRAS 2'!$M$14)-1),L23*(1/(1-'EXTRAS 2'!$M$14)-1)),0)</f>
        <v>457.88226978998398</v>
      </c>
      <c r="N23" s="541">
        <f>SUM(K23:M23)</f>
        <v>2344.5072697899841</v>
      </c>
      <c r="O23" s="284"/>
      <c r="Q23" s="276">
        <f>IF(H23&lt;&gt;"",H23,"")</f>
        <v>9</v>
      </c>
      <c r="R23" s="277">
        <f>IF(I23&lt;&gt;"",I23,"")</f>
        <v>2</v>
      </c>
      <c r="S23" s="278">
        <v>75</v>
      </c>
      <c r="T23" s="293">
        <v>0</v>
      </c>
      <c r="U23" s="279">
        <f>IF(Q23&lt;&gt;"",K23-T23,"")</f>
        <v>1755</v>
      </c>
      <c r="V23" s="280">
        <f>IF(Q23&lt;&gt;"",0%,"")</f>
        <v>0</v>
      </c>
      <c r="W23" s="281">
        <f>IF(Q23&lt;&gt;"",V23*U23,"")</f>
        <v>0</v>
      </c>
      <c r="X23" s="281">
        <f>IF(Q23&lt;&gt;"",W23+T23,"")</f>
        <v>0</v>
      </c>
      <c r="Y23" s="282">
        <f>IF(Q23&lt;&gt;"",X23+M23,"")</f>
        <v>457.88226978998398</v>
      </c>
      <c r="Z23" s="270">
        <f>IF(Q23&lt;&gt;"", IFERROR(U23/K23, 0), 0)</f>
        <v>1</v>
      </c>
      <c r="AA23" s="508"/>
      <c r="AN23" s="518">
        <f t="shared" si="0"/>
        <v>0</v>
      </c>
      <c r="AO23" s="519"/>
    </row>
    <row r="24" spans="1:42" ht="30" customHeight="1" thickBot="1" x14ac:dyDescent="0.45">
      <c r="A24" s="229">
        <v>10</v>
      </c>
      <c r="B24" s="247"/>
      <c r="C24" s="248" t="s">
        <v>142</v>
      </c>
      <c r="D24" s="229"/>
      <c r="E24" s="229"/>
      <c r="F24" s="698" t="s">
        <v>295</v>
      </c>
      <c r="G24" s="699"/>
      <c r="H24" s="699"/>
      <c r="I24" s="699"/>
      <c r="J24" s="699"/>
      <c r="K24" s="100">
        <f>SUM(K17:K23)</f>
        <v>67296</v>
      </c>
      <c r="L24" s="100">
        <f>SUM(L17:L23)</f>
        <v>4844</v>
      </c>
      <c r="M24" s="100">
        <f>SUM(M17:M23)</f>
        <v>17508.316142661868</v>
      </c>
      <c r="N24" s="93">
        <f>SUM(N17:N23)</f>
        <v>89648.316142661861</v>
      </c>
      <c r="Q24" s="698" t="s">
        <v>295</v>
      </c>
      <c r="R24" s="699"/>
      <c r="S24" s="699"/>
      <c r="T24" s="101">
        <f>SUM(T17:T23)</f>
        <v>54898</v>
      </c>
      <c r="U24" s="102">
        <f>SUM(U17:U23)</f>
        <v>12398</v>
      </c>
      <c r="V24" s="297"/>
      <c r="W24" s="297"/>
      <c r="X24" s="103">
        <f>SUM(X17:X23)</f>
        <v>54898</v>
      </c>
      <c r="Y24" s="104">
        <f>IF(Q24&lt;&gt;"",X24+M24,"")</f>
        <v>72406.316142661875</v>
      </c>
      <c r="Z24" s="298" t="s">
        <v>213</v>
      </c>
      <c r="AA24" s="542" t="s">
        <v>214</v>
      </c>
      <c r="AN24" s="518"/>
      <c r="AO24" s="519"/>
    </row>
    <row r="25" spans="1:42" ht="30" customHeight="1" thickBot="1" x14ac:dyDescent="0.45">
      <c r="A25" s="229">
        <v>11</v>
      </c>
      <c r="B25" s="299"/>
      <c r="C25" s="248" t="s">
        <v>212</v>
      </c>
      <c r="D25" s="229"/>
      <c r="E25" s="229"/>
      <c r="F25" s="300" t="s">
        <v>296</v>
      </c>
      <c r="G25" s="302"/>
      <c r="H25" s="301"/>
      <c r="I25" s="301"/>
      <c r="J25" s="302"/>
      <c r="K25" s="303">
        <f>SUM(K17:K23)</f>
        <v>67296</v>
      </c>
      <c r="L25" s="303">
        <f>SUM(L17:L23)</f>
        <v>4844</v>
      </c>
      <c r="M25" s="303">
        <f>SUM(M17:M23)</f>
        <v>17508.316142661868</v>
      </c>
      <c r="N25" s="543">
        <f>SUM(N17:N23)</f>
        <v>89648.316142661861</v>
      </c>
      <c r="Q25" s="304" t="s">
        <v>42</v>
      </c>
      <c r="R25" s="301"/>
      <c r="S25" s="302"/>
      <c r="T25" s="303">
        <f>SUM(T17:T23)</f>
        <v>54898</v>
      </c>
      <c r="U25" s="303">
        <f>SUM(U17:U23)</f>
        <v>12398</v>
      </c>
      <c r="V25" s="302"/>
      <c r="W25" s="302"/>
      <c r="X25" s="303">
        <f>SUM(X17:X23)</f>
        <v>54898</v>
      </c>
      <c r="Y25" s="303">
        <f>SUM(Y17:Y23)</f>
        <v>75889.316142661861</v>
      </c>
      <c r="Z25" s="305" t="s">
        <v>213</v>
      </c>
      <c r="AA25" s="544" t="s">
        <v>214</v>
      </c>
      <c r="AN25" s="518">
        <f>SUM(AN17:AN24)</f>
        <v>0</v>
      </c>
      <c r="AO25" s="519">
        <f>SUM(AO17:AO24)</f>
        <v>54898</v>
      </c>
    </row>
    <row r="28" spans="1:42" x14ac:dyDescent="0.35">
      <c r="AO28" s="616"/>
      <c r="AP28" s="617" t="s">
        <v>509</v>
      </c>
    </row>
    <row r="29" spans="1:42" x14ac:dyDescent="0.35">
      <c r="AO29" s="618">
        <f>X25</f>
        <v>54898</v>
      </c>
      <c r="AP29" s="617" t="s">
        <v>510</v>
      </c>
    </row>
    <row r="30" spans="1:42" x14ac:dyDescent="0.35">
      <c r="AO30" s="618">
        <f>N25-X25</f>
        <v>34750.316142661861</v>
      </c>
      <c r="AP30" s="617" t="s">
        <v>447</v>
      </c>
    </row>
    <row r="31" spans="1:42" x14ac:dyDescent="0.35">
      <c r="AO31" s="619">
        <f>AO30*100%/N25</f>
        <v>0.38762932353756585</v>
      </c>
      <c r="AP31" s="620"/>
    </row>
  </sheetData>
  <mergeCells count="15">
    <mergeCell ref="AN15:AO15"/>
    <mergeCell ref="AN16:AO16"/>
    <mergeCell ref="F24:J24"/>
    <mergeCell ref="Q24:S24"/>
    <mergeCell ref="F1:G1"/>
    <mergeCell ref="F2:G2"/>
    <mergeCell ref="Q12:T12"/>
    <mergeCell ref="AK12:AL12"/>
    <mergeCell ref="F15:N15"/>
    <mergeCell ref="Q15:Y15"/>
    <mergeCell ref="F16:K16"/>
    <mergeCell ref="Q16:Y16"/>
    <mergeCell ref="U12:X12"/>
    <mergeCell ref="AC12:AE12"/>
    <mergeCell ref="AG12:AH12"/>
  </mergeCells>
  <dataValidations count="3">
    <dataValidation type="list" allowBlank="1" showInputMessage="1" showErrorMessage="1" sqref="D25 D17:D23" xr:uid="{B8CDBBE5-13E4-4310-A87E-C6EE244EFBC6}">
      <formula1>"INTERNO,OPERACIONAL"</formula1>
    </dataValidation>
    <dataValidation type="list" allowBlank="1" showInputMessage="1" showErrorMessage="1" sqref="E25" xr:uid="{C894A2C1-3753-4078-987D-B3D4B91879F2}">
      <formula1>"FAT.OGGI,FAT.CLIENTE "</formula1>
    </dataValidation>
    <dataValidation type="list" allowBlank="1" showInputMessage="1" showErrorMessage="1" sqref="E17:E23" xr:uid="{7F1EEC60-D60C-4D66-ADDF-DCA5A68CDFC3}">
      <formula1>"FAT.OGGI,FAT.CLIENTE"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A88C9-DF1C-44CB-A578-6F9BB2712292}">
  <sheetPr codeName="Planilha15">
    <pageSetUpPr autoPageBreaks="0"/>
  </sheetPr>
  <dimension ref="A1:AP59"/>
  <sheetViews>
    <sheetView showGridLines="0" topLeftCell="B1" zoomScale="55" zoomScaleNormal="55" workbookViewId="0">
      <pane ySplit="1" topLeftCell="A47" activePane="bottomLeft" state="frozen"/>
      <selection pane="bottomLeft" activeCell="M58" sqref="M58"/>
    </sheetView>
  </sheetViews>
  <sheetFormatPr defaultColWidth="8.88671875" defaultRowHeight="21" x14ac:dyDescent="0.4"/>
  <cols>
    <col min="1" max="1" width="5.109375" style="306" hidden="1" customWidth="1"/>
    <col min="2" max="2" width="13.6640625" style="306" customWidth="1"/>
    <col min="3" max="5" width="5.109375" style="306" hidden="1" customWidth="1"/>
    <col min="6" max="6" width="44.44140625" style="306" customWidth="1"/>
    <col min="7" max="7" width="60.109375" style="306" customWidth="1"/>
    <col min="8" max="8" width="7.109375" style="309" hidden="1" customWidth="1"/>
    <col min="9" max="9" width="7.88671875" style="309" hidden="1" customWidth="1"/>
    <col min="10" max="10" width="25.109375" style="306" hidden="1" customWidth="1"/>
    <col min="11" max="11" width="26.88671875" style="306" bestFit="1" customWidth="1"/>
    <col min="12" max="12" width="22.88671875" style="306" bestFit="1" customWidth="1"/>
    <col min="13" max="13" width="24.5546875" style="306" bestFit="1" customWidth="1"/>
    <col min="14" max="14" width="26.88671875" style="306" bestFit="1" customWidth="1"/>
    <col min="15" max="15" width="3.109375" style="306" hidden="1" customWidth="1"/>
    <col min="16" max="16" width="1.88671875" style="306" hidden="1" customWidth="1"/>
    <col min="17" max="17" width="8.44140625" style="309" customWidth="1"/>
    <col min="18" max="18" width="8.44140625" style="309" hidden="1" customWidth="1"/>
    <col min="19" max="19" width="19.44140625" style="306" hidden="1" customWidth="1"/>
    <col min="20" max="20" width="26.88671875" style="306" bestFit="1" customWidth="1"/>
    <col min="21" max="21" width="24.88671875" style="306" hidden="1" customWidth="1"/>
    <col min="22" max="22" width="9.88671875" style="306" hidden="1" customWidth="1"/>
    <col min="23" max="23" width="16.109375" style="306" hidden="1" customWidth="1"/>
    <col min="24" max="24" width="27.109375" style="306" bestFit="1" customWidth="1"/>
    <col min="25" max="25" width="26.88671875" style="306" hidden="1" customWidth="1"/>
    <col min="26" max="26" width="20.88671875" style="306" hidden="1" customWidth="1"/>
    <col min="27" max="27" width="24.88671875" style="306" hidden="1" customWidth="1"/>
    <col min="28" max="28" width="38.109375" style="306" hidden="1" customWidth="1"/>
    <col min="29" max="29" width="14.109375" style="306" hidden="1" customWidth="1"/>
    <col min="30" max="30" width="7.88671875" style="306" hidden="1" customWidth="1"/>
    <col min="31" max="31" width="6.88671875" style="306" hidden="1" customWidth="1"/>
    <col min="32" max="32" width="1.109375" style="306" hidden="1" customWidth="1"/>
    <col min="33" max="33" width="14" style="306" hidden="1" customWidth="1"/>
    <col min="34" max="34" width="11.88671875" style="306" hidden="1" customWidth="1"/>
    <col min="35" max="35" width="6.109375" style="306" hidden="1" customWidth="1"/>
    <col min="36" max="36" width="12.88671875" style="306" hidden="1" customWidth="1"/>
    <col min="37" max="37" width="13.109375" style="306" hidden="1" customWidth="1"/>
    <col min="38" max="38" width="13.5546875" style="306" hidden="1" customWidth="1"/>
    <col min="39" max="39" width="0" style="306" hidden="1" customWidth="1"/>
    <col min="40" max="40" width="21.109375" style="306" customWidth="1"/>
    <col min="41" max="41" width="21.44140625" style="306" customWidth="1"/>
    <col min="42" max="42" width="8.88671875" style="310"/>
    <col min="43" max="16384" width="8.88671875" style="306"/>
  </cols>
  <sheetData>
    <row r="1" spans="1:41" ht="49.5" customHeight="1" x14ac:dyDescent="0.4">
      <c r="B1" s="307"/>
      <c r="C1" s="308"/>
      <c r="D1" s="308"/>
      <c r="F1" s="652" t="s">
        <v>112</v>
      </c>
      <c r="G1" s="652"/>
    </row>
    <row r="2" spans="1:41" ht="24.75" customHeight="1" x14ac:dyDescent="0.4">
      <c r="B2" s="309"/>
      <c r="D2" s="308"/>
      <c r="F2" s="653" t="s">
        <v>0</v>
      </c>
      <c r="G2" s="653"/>
    </row>
    <row r="3" spans="1:41" ht="22.2" x14ac:dyDescent="0.4">
      <c r="B3" s="311"/>
      <c r="F3" s="312"/>
      <c r="G3" s="312"/>
    </row>
    <row r="4" spans="1:41" ht="22.2" x14ac:dyDescent="0.4">
      <c r="F4" s="314" t="s">
        <v>121</v>
      </c>
      <c r="G4" s="560" t="s">
        <v>123</v>
      </c>
    </row>
    <row r="5" spans="1:41" ht="22.2" x14ac:dyDescent="0.4">
      <c r="F5" s="316" t="s">
        <v>120</v>
      </c>
      <c r="G5" s="561" t="s">
        <v>122</v>
      </c>
    </row>
    <row r="6" spans="1:41" ht="22.2" x14ac:dyDescent="0.4">
      <c r="D6" s="306" t="s">
        <v>99</v>
      </c>
      <c r="F6" s="316" t="s">
        <v>119</v>
      </c>
      <c r="G6" s="562" t="s">
        <v>124</v>
      </c>
    </row>
    <row r="7" spans="1:41" ht="21.75" customHeight="1" x14ac:dyDescent="0.4">
      <c r="F7" s="316" t="s">
        <v>118</v>
      </c>
      <c r="G7" s="562" t="s">
        <v>125</v>
      </c>
      <c r="J7" s="306" t="s">
        <v>111</v>
      </c>
    </row>
    <row r="8" spans="1:41" ht="22.2" x14ac:dyDescent="0.4">
      <c r="F8" s="316" t="s">
        <v>114</v>
      </c>
      <c r="G8" s="563" t="s">
        <v>147</v>
      </c>
    </row>
    <row r="9" spans="1:41" ht="22.2" x14ac:dyDescent="0.4">
      <c r="F9" s="316" t="s">
        <v>115</v>
      </c>
      <c r="G9" s="562" t="s">
        <v>113</v>
      </c>
      <c r="J9" s="306" t="s">
        <v>99</v>
      </c>
    </row>
    <row r="10" spans="1:41" ht="27" customHeight="1" x14ac:dyDescent="0.4">
      <c r="F10" s="316" t="s">
        <v>116</v>
      </c>
      <c r="G10" s="562" t="s">
        <v>126</v>
      </c>
    </row>
    <row r="11" spans="1:41" ht="22.2" x14ac:dyDescent="0.4">
      <c r="F11" s="320" t="s">
        <v>117</v>
      </c>
      <c r="G11" s="564" t="s">
        <v>127</v>
      </c>
    </row>
    <row r="12" spans="1:41" ht="67.2" hidden="1" thickBot="1" x14ac:dyDescent="0.45">
      <c r="B12" s="322"/>
      <c r="M12" s="324"/>
      <c r="Q12" s="654" t="s">
        <v>1</v>
      </c>
      <c r="R12" s="655"/>
      <c r="S12" s="655"/>
      <c r="T12" s="656"/>
      <c r="U12" s="657" t="s">
        <v>2</v>
      </c>
      <c r="V12" s="658"/>
      <c r="W12" s="658"/>
      <c r="X12" s="659"/>
      <c r="Y12" s="325" t="s">
        <v>48</v>
      </c>
      <c r="Z12" s="326">
        <f>(1/(1-M14))-1</f>
        <v>0.24269914253759173</v>
      </c>
      <c r="AC12" s="660" t="s">
        <v>3</v>
      </c>
      <c r="AD12" s="661"/>
      <c r="AE12" s="662"/>
      <c r="AG12" s="663" t="s">
        <v>50</v>
      </c>
      <c r="AH12" s="664"/>
      <c r="AJ12" s="327" t="s">
        <v>52</v>
      </c>
      <c r="AK12" s="650" t="s">
        <v>51</v>
      </c>
      <c r="AL12" s="651"/>
    </row>
    <row r="13" spans="1:41" ht="21.6" thickBot="1" x14ac:dyDescent="0.45">
      <c r="A13" s="328" t="s">
        <v>4</v>
      </c>
      <c r="B13" s="329" t="s">
        <v>5</v>
      </c>
      <c r="C13" s="328" t="s">
        <v>6</v>
      </c>
      <c r="D13" s="328" t="s">
        <v>7</v>
      </c>
      <c r="E13" s="328" t="s">
        <v>8</v>
      </c>
      <c r="M13" s="330">
        <v>0.80469999999999997</v>
      </c>
    </row>
    <row r="14" spans="1:41" ht="67.2" thickBot="1" x14ac:dyDescent="0.45">
      <c r="A14" s="331">
        <v>0</v>
      </c>
      <c r="B14" s="332"/>
      <c r="C14" s="333"/>
      <c r="D14" s="334"/>
      <c r="E14" s="334"/>
      <c r="F14" s="335" t="s">
        <v>76</v>
      </c>
      <c r="G14" s="565" t="s">
        <v>77</v>
      </c>
      <c r="H14" s="337" t="s">
        <v>78</v>
      </c>
      <c r="I14" s="337" t="s">
        <v>79</v>
      </c>
      <c r="J14" s="338" t="s">
        <v>80</v>
      </c>
      <c r="K14" s="339" t="s">
        <v>9</v>
      </c>
      <c r="L14" s="340">
        <v>7.4999999999999997E-2</v>
      </c>
      <c r="M14" s="341">
        <f>1-M13</f>
        <v>0.19530000000000003</v>
      </c>
      <c r="N14" s="342" t="s">
        <v>74</v>
      </c>
      <c r="Q14" s="343" t="s">
        <v>81</v>
      </c>
      <c r="R14" s="344" t="s">
        <v>82</v>
      </c>
      <c r="S14" s="345" t="s">
        <v>83</v>
      </c>
      <c r="T14" s="346" t="s">
        <v>84</v>
      </c>
      <c r="U14" s="347" t="s">
        <v>85</v>
      </c>
      <c r="V14" s="348" t="s">
        <v>86</v>
      </c>
      <c r="W14" s="349" t="s">
        <v>87</v>
      </c>
      <c r="X14" s="349" t="s">
        <v>88</v>
      </c>
      <c r="Y14" s="350" t="s">
        <v>89</v>
      </c>
      <c r="Z14" s="351" t="s">
        <v>90</v>
      </c>
      <c r="AA14" s="352" t="s">
        <v>75</v>
      </c>
      <c r="AC14" s="361" t="s">
        <v>91</v>
      </c>
      <c r="AD14" s="362" t="s">
        <v>92</v>
      </c>
      <c r="AE14" s="362" t="s">
        <v>32</v>
      </c>
      <c r="AG14" s="363" t="s">
        <v>93</v>
      </c>
      <c r="AH14" s="364" t="s">
        <v>94</v>
      </c>
      <c r="AK14" s="365" t="s">
        <v>95</v>
      </c>
      <c r="AL14" s="366" t="s">
        <v>96</v>
      </c>
      <c r="AN14" s="365" t="s">
        <v>95</v>
      </c>
      <c r="AO14" s="366" t="s">
        <v>96</v>
      </c>
    </row>
    <row r="15" spans="1:41" ht="30" customHeight="1" thickBot="1" x14ac:dyDescent="0.5">
      <c r="A15" s="334">
        <v>1</v>
      </c>
      <c r="B15" s="353">
        <v>1</v>
      </c>
      <c r="C15" s="354" t="s">
        <v>128</v>
      </c>
      <c r="D15" s="334"/>
      <c r="E15" s="334"/>
      <c r="F15" s="637" t="s">
        <v>233</v>
      </c>
      <c r="G15" s="638"/>
      <c r="H15" s="638"/>
      <c r="I15" s="638"/>
      <c r="J15" s="638"/>
      <c r="K15" s="638"/>
      <c r="L15" s="638"/>
      <c r="M15" s="638"/>
      <c r="N15" s="639"/>
      <c r="Q15" s="640" t="str">
        <f>IF(F15&lt;&gt;"",F15,"")</f>
        <v>Opcionais</v>
      </c>
      <c r="R15" s="641"/>
      <c r="S15" s="641"/>
      <c r="T15" s="641"/>
      <c r="U15" s="641"/>
      <c r="V15" s="641"/>
      <c r="W15" s="641"/>
      <c r="X15" s="641"/>
      <c r="Y15" s="642"/>
      <c r="AN15" s="629"/>
      <c r="AO15" s="630"/>
    </row>
    <row r="16" spans="1:41" ht="30" customHeight="1" x14ac:dyDescent="0.45">
      <c r="A16" s="334">
        <v>2</v>
      </c>
      <c r="B16" s="353" t="s">
        <v>130</v>
      </c>
      <c r="C16" s="354" t="s">
        <v>129</v>
      </c>
      <c r="D16" s="334"/>
      <c r="E16" s="334"/>
      <c r="F16" s="633" t="s">
        <v>233</v>
      </c>
      <c r="G16" s="634"/>
      <c r="H16" s="634"/>
      <c r="I16" s="634"/>
      <c r="J16" s="634"/>
      <c r="K16" s="635"/>
      <c r="L16" s="356" t="s">
        <v>131</v>
      </c>
      <c r="M16" s="357" t="s">
        <v>132</v>
      </c>
      <c r="N16" s="514" t="s">
        <v>74</v>
      </c>
      <c r="Q16" s="633" t="str">
        <f>IF(F16&lt;&gt;"",F16,"")</f>
        <v>Opcionais</v>
      </c>
      <c r="R16" s="634"/>
      <c r="S16" s="634"/>
      <c r="T16" s="634"/>
      <c r="U16" s="634"/>
      <c r="V16" s="634"/>
      <c r="W16" s="634"/>
      <c r="X16" s="634"/>
      <c r="Y16" s="670"/>
      <c r="Z16" s="359" t="s">
        <v>133</v>
      </c>
      <c r="AA16" s="360" t="s">
        <v>75</v>
      </c>
      <c r="AN16" s="631"/>
      <c r="AO16" s="632"/>
    </row>
    <row r="17" spans="1:42" ht="60" customHeight="1" x14ac:dyDescent="0.4">
      <c r="A17" s="334">
        <v>3</v>
      </c>
      <c r="B17" s="353" t="s">
        <v>135</v>
      </c>
      <c r="C17" s="354" t="s">
        <v>134</v>
      </c>
      <c r="D17" s="334" t="s">
        <v>157</v>
      </c>
      <c r="E17" s="334" t="s">
        <v>154</v>
      </c>
      <c r="F17" s="485" t="s">
        <v>324</v>
      </c>
      <c r="G17" s="470" t="s">
        <v>333</v>
      </c>
      <c r="H17" s="450">
        <v>1</v>
      </c>
      <c r="I17" s="450">
        <v>1</v>
      </c>
      <c r="J17" s="393">
        <f>S17*40%+S17</f>
        <v>8386</v>
      </c>
      <c r="K17" s="393">
        <f t="shared" ref="K17:K18" si="0">IF(F17&lt;&gt;"",H17*I17*J17,"")</f>
        <v>8386</v>
      </c>
      <c r="L17" s="393">
        <f t="shared" ref="L17:L18" si="1">IF(K17&lt;&gt;"",IF(D17="INTERNO",0,K17*$L$14),"")</f>
        <v>628.94999999999993</v>
      </c>
      <c r="M17" s="393">
        <f t="shared" ref="M17:M18" si="2">IF(K17&lt;&gt;"",IF(E17="FAT.OGGI",SUM(K17:L17)*(1/(1-$M$14)-1),L17*(1/(1-$M$14)-1)),0)</f>
        <v>2187.9206350192626</v>
      </c>
      <c r="N17" s="394">
        <f t="shared" ref="N17:N18" si="3">SUM(K17:M17)</f>
        <v>11202.870635019262</v>
      </c>
      <c r="Q17" s="395">
        <f t="shared" ref="Q17:R17" si="4">IF(H17&lt;&gt;"",H17,"")</f>
        <v>1</v>
      </c>
      <c r="R17" s="396">
        <f t="shared" si="4"/>
        <v>1</v>
      </c>
      <c r="S17" s="397">
        <v>5990</v>
      </c>
      <c r="T17" s="471">
        <f t="shared" ref="T17" si="5">IF(Q17&lt;&gt;"",Q17*R17*S17,"")</f>
        <v>5990</v>
      </c>
      <c r="U17" s="399">
        <f t="shared" ref="U17:U18" si="6">IF(Q17&lt;&gt;"",K17-T17,"")</f>
        <v>2396</v>
      </c>
      <c r="V17" s="400">
        <f t="shared" ref="V17:V18" si="7">IF(Q17&lt;&gt;"",0%,"")</f>
        <v>0</v>
      </c>
      <c r="W17" s="401">
        <f t="shared" ref="W17:W18" si="8">IF(Q17&lt;&gt;"",V17*U17,"")</f>
        <v>0</v>
      </c>
      <c r="X17" s="401">
        <f t="shared" ref="X17:X18" si="9">IF(Q17&lt;&gt;"",W17+T17,"")</f>
        <v>5990</v>
      </c>
      <c r="Y17" s="402">
        <f t="shared" ref="Y17:Y18" si="10">IF(Q17&lt;&gt;"",X17+M17,"")</f>
        <v>8177.9206350192626</v>
      </c>
      <c r="Z17" s="382">
        <f t="shared" ref="Z17:Z18" si="11">IF(Q17&lt;&gt;"", IFERROR(U17/K17, 0), 0)</f>
        <v>0.2857142857142857</v>
      </c>
      <c r="AA17" s="383">
        <f t="shared" ref="AA17:AA30" si="12">IFERROR(T17/$T$52, "")</f>
        <v>0.19007141798672164</v>
      </c>
      <c r="AN17" s="518">
        <f>X17-AO17</f>
        <v>0</v>
      </c>
      <c r="AO17" s="519">
        <f>2995+2995</f>
        <v>5990</v>
      </c>
      <c r="AP17" s="310" t="s">
        <v>472</v>
      </c>
    </row>
    <row r="18" spans="1:42" ht="60" customHeight="1" x14ac:dyDescent="0.4">
      <c r="A18" s="334">
        <v>4</v>
      </c>
      <c r="B18" s="353" t="s">
        <v>97</v>
      </c>
      <c r="C18" s="354" t="s">
        <v>134</v>
      </c>
      <c r="D18" s="334" t="s">
        <v>157</v>
      </c>
      <c r="E18" s="334" t="s">
        <v>154</v>
      </c>
      <c r="F18" s="485" t="s">
        <v>325</v>
      </c>
      <c r="G18" s="470" t="s">
        <v>327</v>
      </c>
      <c r="H18" s="450">
        <v>1</v>
      </c>
      <c r="I18" s="450">
        <v>1</v>
      </c>
      <c r="J18" s="393">
        <f>S18*50%+S18</f>
        <v>8925</v>
      </c>
      <c r="K18" s="393">
        <f t="shared" si="0"/>
        <v>8925</v>
      </c>
      <c r="L18" s="393">
        <f t="shared" si="1"/>
        <v>669.375</v>
      </c>
      <c r="M18" s="393">
        <f t="shared" si="2"/>
        <v>2328.5465856841065</v>
      </c>
      <c r="N18" s="394">
        <f t="shared" si="3"/>
        <v>11922.921585684107</v>
      </c>
      <c r="Q18" s="395">
        <f t="shared" ref="Q18" si="13">IF(H18&lt;&gt;"",H18,"")</f>
        <v>1</v>
      </c>
      <c r="R18" s="396">
        <f t="shared" ref="R18" si="14">IF(I18&lt;&gt;"",I18,"")</f>
        <v>1</v>
      </c>
      <c r="S18" s="397">
        <v>5950</v>
      </c>
      <c r="T18" s="397">
        <v>0</v>
      </c>
      <c r="U18" s="399">
        <f t="shared" si="6"/>
        <v>8925</v>
      </c>
      <c r="V18" s="400">
        <f t="shared" si="7"/>
        <v>0</v>
      </c>
      <c r="W18" s="401">
        <f t="shared" si="8"/>
        <v>0</v>
      </c>
      <c r="X18" s="401">
        <f t="shared" si="9"/>
        <v>0</v>
      </c>
      <c r="Y18" s="402">
        <f t="shared" si="10"/>
        <v>2328.5465856841065</v>
      </c>
      <c r="Z18" s="382">
        <f t="shared" si="11"/>
        <v>1</v>
      </c>
      <c r="AA18" s="383">
        <f t="shared" si="12"/>
        <v>0</v>
      </c>
      <c r="AN18" s="518">
        <f t="shared" ref="AN18:AN51" si="15">X18-AO18</f>
        <v>0</v>
      </c>
      <c r="AO18" s="519"/>
    </row>
    <row r="19" spans="1:42" ht="60" customHeight="1" x14ac:dyDescent="0.4">
      <c r="A19" s="334">
        <v>5</v>
      </c>
      <c r="B19" s="353" t="s">
        <v>136</v>
      </c>
      <c r="C19" s="354" t="s">
        <v>134</v>
      </c>
      <c r="D19" s="334" t="s">
        <v>157</v>
      </c>
      <c r="E19" s="334" t="s">
        <v>154</v>
      </c>
      <c r="F19" s="485" t="s">
        <v>325</v>
      </c>
      <c r="G19" s="470" t="s">
        <v>330</v>
      </c>
      <c r="H19" s="450">
        <v>6</v>
      </c>
      <c r="I19" s="450">
        <v>1</v>
      </c>
      <c r="J19" s="393">
        <f>S19*50%+S19</f>
        <v>1187.49</v>
      </c>
      <c r="K19" s="393">
        <f t="shared" ref="K19:K24" si="16">IF(F19&lt;&gt;"",H19*I19*J19,"")</f>
        <v>7124.9400000000005</v>
      </c>
      <c r="L19" s="393">
        <f t="shared" ref="L19:L24" si="17">IF(K19&lt;&gt;"",IF(D19="INTERNO",0,K19*$L$14),"")</f>
        <v>534.37049999999999</v>
      </c>
      <c r="M19" s="393">
        <f t="shared" ref="M19:M24" si="18">IF(K19&lt;&gt;"",IF(E19="FAT.OGGI",SUM(K19:L19)*(1/(1-$M$14)-1),L19*(1/(1-$M$14)-1)),0)</f>
        <v>1858.9080907791731</v>
      </c>
      <c r="N19" s="394">
        <f t="shared" ref="N19:N24" si="19">SUM(K19:M19)</f>
        <v>9518.2185907791736</v>
      </c>
      <c r="Q19" s="395">
        <f t="shared" ref="Q19:Q24" si="20">IF(H19&lt;&gt;"",H19,"")</f>
        <v>6</v>
      </c>
      <c r="R19" s="396">
        <f t="shared" ref="R19:R24" si="21">IF(I19&lt;&gt;"",I19,"")</f>
        <v>1</v>
      </c>
      <c r="S19" s="397">
        <v>791.66</v>
      </c>
      <c r="T19" s="397">
        <v>0</v>
      </c>
      <c r="U19" s="399">
        <f t="shared" ref="U19:U24" si="22">IF(Q19&lt;&gt;"",K19-T19,"")</f>
        <v>7124.9400000000005</v>
      </c>
      <c r="V19" s="400">
        <f t="shared" ref="V19:V24" si="23">IF(Q19&lt;&gt;"",0%,"")</f>
        <v>0</v>
      </c>
      <c r="W19" s="401">
        <f t="shared" ref="W19:W24" si="24">IF(Q19&lt;&gt;"",V19*U19,"")</f>
        <v>0</v>
      </c>
      <c r="X19" s="401">
        <f t="shared" ref="X19:X24" si="25">IF(Q19&lt;&gt;"",W19+T19,"")</f>
        <v>0</v>
      </c>
      <c r="Y19" s="402">
        <f t="shared" ref="Y19:Y24" si="26">IF(Q19&lt;&gt;"",X19+M19,"")</f>
        <v>1858.9080907791731</v>
      </c>
      <c r="Z19" s="382">
        <f t="shared" ref="Z19:Z23" si="27">IF(Q19&lt;&gt;"", IFERROR(U19/K19, 0), 0)</f>
        <v>1</v>
      </c>
      <c r="AA19" s="383">
        <f t="shared" si="12"/>
        <v>0</v>
      </c>
      <c r="AN19" s="518">
        <f t="shared" si="15"/>
        <v>0</v>
      </c>
      <c r="AO19" s="519"/>
    </row>
    <row r="20" spans="1:42" ht="60" customHeight="1" x14ac:dyDescent="0.4">
      <c r="A20" s="334">
        <v>6</v>
      </c>
      <c r="B20" s="353" t="s">
        <v>137</v>
      </c>
      <c r="C20" s="354" t="s">
        <v>134</v>
      </c>
      <c r="D20" s="334" t="s">
        <v>157</v>
      </c>
      <c r="E20" s="334" t="s">
        <v>154</v>
      </c>
      <c r="F20" s="485" t="s">
        <v>328</v>
      </c>
      <c r="G20" s="470" t="s">
        <v>329</v>
      </c>
      <c r="H20" s="450">
        <v>4</v>
      </c>
      <c r="I20" s="450">
        <v>6</v>
      </c>
      <c r="J20" s="393">
        <f>S20*50%+S20</f>
        <v>468</v>
      </c>
      <c r="K20" s="393">
        <f t="shared" si="16"/>
        <v>11232</v>
      </c>
      <c r="L20" s="393">
        <f t="shared" si="17"/>
        <v>842.4</v>
      </c>
      <c r="M20" s="393">
        <f t="shared" si="18"/>
        <v>2930.4465266558973</v>
      </c>
      <c r="N20" s="394">
        <f t="shared" si="19"/>
        <v>15004.846526655896</v>
      </c>
      <c r="Q20" s="395">
        <f t="shared" si="20"/>
        <v>4</v>
      </c>
      <c r="R20" s="396">
        <f t="shared" si="21"/>
        <v>6</v>
      </c>
      <c r="S20" s="397">
        <v>312</v>
      </c>
      <c r="T20" s="397">
        <v>0</v>
      </c>
      <c r="U20" s="399">
        <f t="shared" si="22"/>
        <v>11232</v>
      </c>
      <c r="V20" s="400">
        <f t="shared" si="23"/>
        <v>0</v>
      </c>
      <c r="W20" s="401">
        <f t="shared" si="24"/>
        <v>0</v>
      </c>
      <c r="X20" s="401">
        <f t="shared" si="25"/>
        <v>0</v>
      </c>
      <c r="Y20" s="402">
        <f t="shared" si="26"/>
        <v>2930.4465266558973</v>
      </c>
      <c r="Z20" s="382">
        <f t="shared" si="27"/>
        <v>1</v>
      </c>
      <c r="AA20" s="383">
        <f t="shared" si="12"/>
        <v>0</v>
      </c>
      <c r="AN20" s="518">
        <f t="shared" si="15"/>
        <v>0</v>
      </c>
      <c r="AO20" s="519"/>
    </row>
    <row r="21" spans="1:42" ht="60" customHeight="1" x14ac:dyDescent="0.4">
      <c r="A21" s="334">
        <v>7</v>
      </c>
      <c r="B21" s="353" t="s">
        <v>138</v>
      </c>
      <c r="C21" s="354" t="s">
        <v>134</v>
      </c>
      <c r="D21" s="334" t="s">
        <v>157</v>
      </c>
      <c r="E21" s="334" t="s">
        <v>154</v>
      </c>
      <c r="F21" s="485" t="s">
        <v>328</v>
      </c>
      <c r="G21" s="470" t="s">
        <v>331</v>
      </c>
      <c r="H21" s="450">
        <v>1</v>
      </c>
      <c r="I21" s="450">
        <v>1</v>
      </c>
      <c r="J21" s="393">
        <v>0</v>
      </c>
      <c r="K21" s="393">
        <f t="shared" si="16"/>
        <v>0</v>
      </c>
      <c r="L21" s="393">
        <f t="shared" si="17"/>
        <v>0</v>
      </c>
      <c r="M21" s="393">
        <f t="shared" si="18"/>
        <v>0</v>
      </c>
      <c r="N21" s="394">
        <f t="shared" si="19"/>
        <v>0</v>
      </c>
      <c r="Q21" s="395">
        <f t="shared" si="20"/>
        <v>1</v>
      </c>
      <c r="R21" s="396">
        <f t="shared" si="21"/>
        <v>1</v>
      </c>
      <c r="S21" s="397">
        <v>0</v>
      </c>
      <c r="T21" s="397">
        <f t="shared" ref="T21" si="28">IF(Q21&lt;&gt;"",Q21*R21*S21,"")</f>
        <v>0</v>
      </c>
      <c r="U21" s="399">
        <f t="shared" si="22"/>
        <v>0</v>
      </c>
      <c r="V21" s="400">
        <f t="shared" si="23"/>
        <v>0</v>
      </c>
      <c r="W21" s="401">
        <f t="shared" si="24"/>
        <v>0</v>
      </c>
      <c r="X21" s="401">
        <f t="shared" si="25"/>
        <v>0</v>
      </c>
      <c r="Y21" s="402">
        <f t="shared" si="26"/>
        <v>0</v>
      </c>
      <c r="Z21" s="382">
        <f t="shared" si="27"/>
        <v>0</v>
      </c>
      <c r="AA21" s="383">
        <f t="shared" si="12"/>
        <v>0</v>
      </c>
      <c r="AN21" s="518">
        <f t="shared" si="15"/>
        <v>0</v>
      </c>
      <c r="AO21" s="519"/>
    </row>
    <row r="22" spans="1:42" ht="60" customHeight="1" x14ac:dyDescent="0.4">
      <c r="A22" s="334">
        <v>8</v>
      </c>
      <c r="B22" s="353" t="s">
        <v>139</v>
      </c>
      <c r="C22" s="354" t="s">
        <v>134</v>
      </c>
      <c r="D22" s="334" t="s">
        <v>157</v>
      </c>
      <c r="E22" s="334" t="s">
        <v>154</v>
      </c>
      <c r="F22" s="485" t="s">
        <v>328</v>
      </c>
      <c r="G22" s="470" t="s">
        <v>440</v>
      </c>
      <c r="H22" s="450">
        <v>1</v>
      </c>
      <c r="I22" s="450">
        <v>1</v>
      </c>
      <c r="J22" s="393">
        <f>S22</f>
        <v>1780</v>
      </c>
      <c r="K22" s="393">
        <f t="shared" si="16"/>
        <v>1780</v>
      </c>
      <c r="L22" s="393">
        <f t="shared" si="17"/>
        <v>133.5</v>
      </c>
      <c r="M22" s="393">
        <f t="shared" si="18"/>
        <v>464.40480924568175</v>
      </c>
      <c r="N22" s="394">
        <f t="shared" si="19"/>
        <v>2377.9048092456819</v>
      </c>
      <c r="Q22" s="395">
        <f t="shared" si="20"/>
        <v>1</v>
      </c>
      <c r="R22" s="396">
        <f t="shared" si="21"/>
        <v>1</v>
      </c>
      <c r="S22" s="397">
        <v>1780</v>
      </c>
      <c r="T22" s="397">
        <v>0</v>
      </c>
      <c r="U22" s="399">
        <f t="shared" si="22"/>
        <v>1780</v>
      </c>
      <c r="V22" s="400">
        <f t="shared" si="23"/>
        <v>0</v>
      </c>
      <c r="W22" s="401">
        <f t="shared" si="24"/>
        <v>0</v>
      </c>
      <c r="X22" s="401">
        <f t="shared" si="25"/>
        <v>0</v>
      </c>
      <c r="Y22" s="402">
        <f t="shared" si="26"/>
        <v>464.40480924568175</v>
      </c>
      <c r="Z22" s="382">
        <f t="shared" si="27"/>
        <v>1</v>
      </c>
      <c r="AA22" s="383">
        <f t="shared" si="12"/>
        <v>0</v>
      </c>
      <c r="AN22" s="518">
        <f t="shared" si="15"/>
        <v>0</v>
      </c>
      <c r="AO22" s="519"/>
    </row>
    <row r="23" spans="1:42" ht="60" customHeight="1" x14ac:dyDescent="0.4">
      <c r="A23" s="334">
        <v>9</v>
      </c>
      <c r="B23" s="353" t="s">
        <v>140</v>
      </c>
      <c r="C23" s="354" t="s">
        <v>134</v>
      </c>
      <c r="D23" s="334" t="s">
        <v>157</v>
      </c>
      <c r="E23" s="334" t="s">
        <v>154</v>
      </c>
      <c r="F23" s="485" t="s">
        <v>328</v>
      </c>
      <c r="G23" s="470" t="s">
        <v>332</v>
      </c>
      <c r="H23" s="450">
        <v>1</v>
      </c>
      <c r="I23" s="450">
        <v>1</v>
      </c>
      <c r="J23" s="393">
        <f t="shared" ref="J23" si="29">S23*50%+S23</f>
        <v>1288.5</v>
      </c>
      <c r="K23" s="393">
        <f t="shared" si="16"/>
        <v>1288.5</v>
      </c>
      <c r="L23" s="393">
        <f t="shared" si="17"/>
        <v>96.637500000000003</v>
      </c>
      <c r="M23" s="393">
        <f t="shared" si="18"/>
        <v>336.17168354666347</v>
      </c>
      <c r="N23" s="394">
        <f t="shared" si="19"/>
        <v>1721.3091835466635</v>
      </c>
      <c r="Q23" s="395">
        <f t="shared" si="20"/>
        <v>1</v>
      </c>
      <c r="R23" s="396">
        <f t="shared" si="21"/>
        <v>1</v>
      </c>
      <c r="S23" s="397">
        <v>859</v>
      </c>
      <c r="T23" s="397">
        <v>0</v>
      </c>
      <c r="U23" s="399">
        <f t="shared" si="22"/>
        <v>1288.5</v>
      </c>
      <c r="V23" s="400">
        <f t="shared" si="23"/>
        <v>0</v>
      </c>
      <c r="W23" s="401">
        <f t="shared" si="24"/>
        <v>0</v>
      </c>
      <c r="X23" s="401">
        <f t="shared" si="25"/>
        <v>0</v>
      </c>
      <c r="Y23" s="402">
        <f t="shared" si="26"/>
        <v>336.17168354666347</v>
      </c>
      <c r="Z23" s="382">
        <f t="shared" si="27"/>
        <v>1</v>
      </c>
      <c r="AA23" s="383">
        <f t="shared" si="12"/>
        <v>0</v>
      </c>
      <c r="AN23" s="518">
        <f t="shared" si="15"/>
        <v>0</v>
      </c>
      <c r="AO23" s="519"/>
    </row>
    <row r="24" spans="1:42" ht="60" customHeight="1" x14ac:dyDescent="0.4">
      <c r="A24" s="334">
        <v>10</v>
      </c>
      <c r="B24" s="353" t="s">
        <v>141</v>
      </c>
      <c r="C24" s="354" t="s">
        <v>134</v>
      </c>
      <c r="D24" s="334" t="s">
        <v>157</v>
      </c>
      <c r="E24" s="334" t="s">
        <v>154</v>
      </c>
      <c r="F24" s="485" t="s">
        <v>328</v>
      </c>
      <c r="G24" s="470" t="s">
        <v>441</v>
      </c>
      <c r="H24" s="450">
        <v>1</v>
      </c>
      <c r="I24" s="450">
        <v>1</v>
      </c>
      <c r="J24" s="393">
        <v>2400</v>
      </c>
      <c r="K24" s="393">
        <f t="shared" si="16"/>
        <v>2400</v>
      </c>
      <c r="L24" s="393">
        <f t="shared" si="17"/>
        <v>180</v>
      </c>
      <c r="M24" s="393">
        <f t="shared" si="18"/>
        <v>626.16378774698671</v>
      </c>
      <c r="N24" s="394">
        <f t="shared" si="19"/>
        <v>3206.1637877469866</v>
      </c>
      <c r="Q24" s="395">
        <f t="shared" si="20"/>
        <v>1</v>
      </c>
      <c r="R24" s="396">
        <f t="shared" si="21"/>
        <v>1</v>
      </c>
      <c r="S24" s="397">
        <v>2250</v>
      </c>
      <c r="T24" s="397">
        <v>0</v>
      </c>
      <c r="U24" s="399">
        <f t="shared" si="22"/>
        <v>2400</v>
      </c>
      <c r="V24" s="400">
        <f t="shared" si="23"/>
        <v>0</v>
      </c>
      <c r="W24" s="401">
        <f t="shared" si="24"/>
        <v>0</v>
      </c>
      <c r="X24" s="401">
        <f t="shared" si="25"/>
        <v>0</v>
      </c>
      <c r="Y24" s="402">
        <f t="shared" si="26"/>
        <v>626.16378774698671</v>
      </c>
      <c r="Z24" s="382">
        <f t="shared" ref="Z24:Z40" si="30">IF(Q24&lt;&gt;"", IFERROR(U24/K24, 0), 0)</f>
        <v>1</v>
      </c>
      <c r="AA24" s="383">
        <f t="shared" si="12"/>
        <v>0</v>
      </c>
      <c r="AN24" s="518">
        <f t="shared" si="15"/>
        <v>0</v>
      </c>
      <c r="AO24" s="519"/>
    </row>
    <row r="25" spans="1:42" ht="60" customHeight="1" x14ac:dyDescent="0.4">
      <c r="A25" s="334">
        <v>11</v>
      </c>
      <c r="B25" s="353" t="s">
        <v>284</v>
      </c>
      <c r="C25" s="354" t="s">
        <v>134</v>
      </c>
      <c r="D25" s="334" t="s">
        <v>157</v>
      </c>
      <c r="E25" s="334" t="s">
        <v>154</v>
      </c>
      <c r="F25" s="485" t="s">
        <v>380</v>
      </c>
      <c r="G25" s="522" t="s">
        <v>381</v>
      </c>
      <c r="H25" s="450">
        <v>1</v>
      </c>
      <c r="I25" s="450">
        <v>1</v>
      </c>
      <c r="J25" s="393">
        <v>8810</v>
      </c>
      <c r="K25" s="393">
        <f t="shared" ref="K25:K40" si="31">IF(F25&lt;&gt;"",H25*I25*J25,"")</f>
        <v>8810</v>
      </c>
      <c r="L25" s="393">
        <f t="shared" ref="L25" si="32">IF(K25&lt;&gt;"",IF(D25="INTERNO",0,K25*$L$14),"")</f>
        <v>660.75</v>
      </c>
      <c r="M25" s="393">
        <f t="shared" ref="M25" si="33">IF(K25&lt;&gt;"",IF(E25="FAT.OGGI",SUM(K25:L25)*(1/(1-$M$14)-1),L25*(1/(1-$M$14)-1)),0)</f>
        <v>2298.542904187897</v>
      </c>
      <c r="N25" s="394">
        <f t="shared" ref="N25" si="34">SUM(K25:M25)</f>
        <v>11769.292904187896</v>
      </c>
      <c r="Q25" s="395">
        <f t="shared" ref="Q25" si="35">IF(H25&lt;&gt;"",H25,"")</f>
        <v>1</v>
      </c>
      <c r="R25" s="396">
        <f t="shared" ref="R25" si="36">IF(I25&lt;&gt;"",I25,"")</f>
        <v>1</v>
      </c>
      <c r="S25" s="471">
        <v>8810</v>
      </c>
      <c r="T25" s="471">
        <v>15380</v>
      </c>
      <c r="U25" s="399">
        <f t="shared" ref="U25" si="37">IF(Q25&lt;&gt;"",K25-T25,"")</f>
        <v>-6570</v>
      </c>
      <c r="V25" s="400">
        <f t="shared" ref="V25" si="38">IF(Q25&lt;&gt;"",0%,"")</f>
        <v>0</v>
      </c>
      <c r="W25" s="401">
        <f t="shared" ref="W25" si="39">IF(Q25&lt;&gt;"",V25*U25,"")</f>
        <v>0</v>
      </c>
      <c r="X25" s="401">
        <f t="shared" ref="X25" si="40">IF(Q25&lt;&gt;"",W25+T25,"")</f>
        <v>15380</v>
      </c>
      <c r="Y25" s="402">
        <f t="shared" ref="Y25" si="41">IF(Q25&lt;&gt;"",X25+M25,"")</f>
        <v>17678.542904187896</v>
      </c>
      <c r="Z25" s="490">
        <f t="shared" si="30"/>
        <v>-0.74574347332576618</v>
      </c>
      <c r="AA25" s="491">
        <f t="shared" si="12"/>
        <v>0.48802978441331868</v>
      </c>
      <c r="AN25" s="518">
        <f t="shared" si="15"/>
        <v>0</v>
      </c>
      <c r="AO25" s="519">
        <f>160+320+345+345+480+480+2200+2240+8810</f>
        <v>15380</v>
      </c>
      <c r="AP25" s="310" t="s">
        <v>473</v>
      </c>
    </row>
    <row r="26" spans="1:42" ht="60" customHeight="1" x14ac:dyDescent="0.4">
      <c r="A26" s="334">
        <v>13</v>
      </c>
      <c r="B26" s="353" t="s">
        <v>285</v>
      </c>
      <c r="C26" s="354" t="s">
        <v>134</v>
      </c>
      <c r="D26" s="334" t="s">
        <v>157</v>
      </c>
      <c r="E26" s="334" t="s">
        <v>154</v>
      </c>
      <c r="F26" s="485" t="s">
        <v>380</v>
      </c>
      <c r="G26" s="522" t="s">
        <v>383</v>
      </c>
      <c r="H26" s="450">
        <v>1</v>
      </c>
      <c r="I26" s="450">
        <v>1</v>
      </c>
      <c r="J26" s="474">
        <v>2200</v>
      </c>
      <c r="K26" s="393">
        <f t="shared" ref="K26:K27" si="42">IF(F26&lt;&gt;"",H26*I26*J26,"")</f>
        <v>2200</v>
      </c>
      <c r="L26" s="393">
        <f t="shared" ref="L26:L27" si="43">IF(K26&lt;&gt;"",IF(D26="INTERNO",0,K26*$L$14),"")</f>
        <v>165</v>
      </c>
      <c r="M26" s="393">
        <f t="shared" ref="M26:M27" si="44">IF(K26&lt;&gt;"",IF(E26="FAT.OGGI",SUM(K26:L26)*(1/(1-$M$14)-1),L26*(1/(1-$M$14)-1)),0)</f>
        <v>573.98347210140446</v>
      </c>
      <c r="N26" s="394">
        <f t="shared" ref="N26:N27" si="45">SUM(K26:M26)</f>
        <v>2938.9834721014045</v>
      </c>
      <c r="Q26" s="395">
        <f t="shared" ref="Q26:Q27" si="46">IF(H26&lt;&gt;"",H26,"")</f>
        <v>1</v>
      </c>
      <c r="R26" s="396">
        <f t="shared" ref="R26:R27" si="47">IF(I26&lt;&gt;"",I26,"")</f>
        <v>1</v>
      </c>
      <c r="S26" s="398">
        <v>2200</v>
      </c>
      <c r="T26" s="566">
        <v>0</v>
      </c>
      <c r="U26" s="399">
        <f t="shared" ref="U26:U27" si="48">IF(Q26&lt;&gt;"",K26-T26,"")</f>
        <v>2200</v>
      </c>
      <c r="V26" s="400">
        <f t="shared" ref="V26:V27" si="49">IF(Q26&lt;&gt;"",0%,"")</f>
        <v>0</v>
      </c>
      <c r="W26" s="401">
        <f t="shared" ref="W26:W27" si="50">IF(Q26&lt;&gt;"",V26*U26,"")</f>
        <v>0</v>
      </c>
      <c r="X26" s="401">
        <f t="shared" ref="X26:X27" si="51">IF(Q26&lt;&gt;"",W26+T26,"")</f>
        <v>0</v>
      </c>
      <c r="Y26" s="402">
        <f t="shared" ref="Y26:Y27" si="52">IF(Q26&lt;&gt;"",X26+M26,"")</f>
        <v>573.98347210140446</v>
      </c>
      <c r="Z26" s="490">
        <f t="shared" ref="Z26:Z27" si="53">IF(Q26&lt;&gt;"", IFERROR(U26/K26, 0), 0)</f>
        <v>1</v>
      </c>
      <c r="AA26" s="491">
        <f t="shared" si="12"/>
        <v>0</v>
      </c>
      <c r="AN26" s="518">
        <f t="shared" si="15"/>
        <v>0</v>
      </c>
      <c r="AO26" s="519"/>
    </row>
    <row r="27" spans="1:42" ht="60" customHeight="1" x14ac:dyDescent="0.4">
      <c r="A27" s="334">
        <v>14</v>
      </c>
      <c r="B27" s="353" t="s">
        <v>326</v>
      </c>
      <c r="C27" s="354" t="s">
        <v>134</v>
      </c>
      <c r="D27" s="334" t="s">
        <v>157</v>
      </c>
      <c r="E27" s="334" t="s">
        <v>154</v>
      </c>
      <c r="F27" s="485" t="s">
        <v>380</v>
      </c>
      <c r="G27" s="522" t="s">
        <v>413</v>
      </c>
      <c r="H27" s="450">
        <v>1</v>
      </c>
      <c r="I27" s="450">
        <v>1</v>
      </c>
      <c r="J27" s="474">
        <v>345</v>
      </c>
      <c r="K27" s="393">
        <f t="shared" si="42"/>
        <v>345</v>
      </c>
      <c r="L27" s="393">
        <f t="shared" si="43"/>
        <v>25.875</v>
      </c>
      <c r="M27" s="393">
        <f t="shared" si="44"/>
        <v>90.011044488629338</v>
      </c>
      <c r="N27" s="394">
        <f t="shared" si="45"/>
        <v>460.88604448862935</v>
      </c>
      <c r="Q27" s="395">
        <f t="shared" si="46"/>
        <v>1</v>
      </c>
      <c r="R27" s="396">
        <f t="shared" si="47"/>
        <v>1</v>
      </c>
      <c r="S27" s="398">
        <v>345</v>
      </c>
      <c r="T27" s="566">
        <v>0</v>
      </c>
      <c r="U27" s="399">
        <f t="shared" si="48"/>
        <v>345</v>
      </c>
      <c r="V27" s="400">
        <f t="shared" si="49"/>
        <v>0</v>
      </c>
      <c r="W27" s="401">
        <f t="shared" si="50"/>
        <v>0</v>
      </c>
      <c r="X27" s="401">
        <f t="shared" si="51"/>
        <v>0</v>
      </c>
      <c r="Y27" s="402">
        <f t="shared" si="52"/>
        <v>90.011044488629338</v>
      </c>
      <c r="Z27" s="490">
        <f t="shared" si="53"/>
        <v>1</v>
      </c>
      <c r="AA27" s="491">
        <f t="shared" si="12"/>
        <v>0</v>
      </c>
      <c r="AN27" s="518">
        <f t="shared" si="15"/>
        <v>0</v>
      </c>
      <c r="AO27" s="519"/>
    </row>
    <row r="28" spans="1:42" ht="60" customHeight="1" x14ac:dyDescent="0.4">
      <c r="A28" s="334">
        <v>16</v>
      </c>
      <c r="B28" s="353" t="s">
        <v>356</v>
      </c>
      <c r="C28" s="354" t="s">
        <v>134</v>
      </c>
      <c r="D28" s="334" t="s">
        <v>157</v>
      </c>
      <c r="E28" s="334" t="s">
        <v>154</v>
      </c>
      <c r="F28" s="485" t="s">
        <v>380</v>
      </c>
      <c r="G28" s="522" t="s">
        <v>414</v>
      </c>
      <c r="H28" s="450">
        <v>1</v>
      </c>
      <c r="I28" s="450">
        <v>1</v>
      </c>
      <c r="J28" s="474">
        <f>S28</f>
        <v>480</v>
      </c>
      <c r="K28" s="393">
        <f t="shared" ref="K28" si="54">IF(F28&lt;&gt;"",H28*I28*J28,"")</f>
        <v>480</v>
      </c>
      <c r="L28" s="393">
        <f t="shared" ref="L28" si="55">IF(K28&lt;&gt;"",IF(D28="INTERNO",0,K28*$L$14),"")</f>
        <v>36</v>
      </c>
      <c r="M28" s="393">
        <f t="shared" ref="M28" si="56">IF(K28&lt;&gt;"",IF(E28="FAT.OGGI",SUM(K28:L28)*(1/(1-$M$14)-1),L28*(1/(1-$M$14)-1)),0)</f>
        <v>125.23275754939733</v>
      </c>
      <c r="N28" s="394">
        <f t="shared" ref="N28" si="57">SUM(K28:M28)</f>
        <v>641.23275754939732</v>
      </c>
      <c r="Q28" s="395">
        <f t="shared" ref="Q28" si="58">IF(H28&lt;&gt;"",H28,"")</f>
        <v>1</v>
      </c>
      <c r="R28" s="396">
        <v>1</v>
      </c>
      <c r="S28" s="398">
        <v>480</v>
      </c>
      <c r="T28" s="398">
        <v>0</v>
      </c>
      <c r="U28" s="399">
        <f t="shared" ref="U28" si="59">IF(Q28&lt;&gt;"",K28-T28,"")</f>
        <v>480</v>
      </c>
      <c r="V28" s="400">
        <f t="shared" ref="V28" si="60">IF(Q28&lt;&gt;"",0%,"")</f>
        <v>0</v>
      </c>
      <c r="W28" s="401">
        <f t="shared" ref="W28" si="61">IF(Q28&lt;&gt;"",V28*U28,"")</f>
        <v>0</v>
      </c>
      <c r="X28" s="401">
        <f t="shared" ref="X28" si="62">IF(Q28&lt;&gt;"",W28+T28,"")</f>
        <v>0</v>
      </c>
      <c r="Y28" s="402">
        <f t="shared" ref="Y28" si="63">IF(Q28&lt;&gt;"",X28+M28,"")</f>
        <v>125.23275754939733</v>
      </c>
      <c r="Z28" s="490">
        <f t="shared" ref="Z28" si="64">IF(Q28&lt;&gt;"", IFERROR(U28/K28, 0), 0)</f>
        <v>1</v>
      </c>
      <c r="AA28" s="491">
        <f t="shared" si="12"/>
        <v>0</v>
      </c>
      <c r="AN28" s="518">
        <f t="shared" si="15"/>
        <v>0</v>
      </c>
      <c r="AO28" s="519"/>
    </row>
    <row r="29" spans="1:42" ht="60" customHeight="1" x14ac:dyDescent="0.4">
      <c r="A29" s="334">
        <v>12</v>
      </c>
      <c r="B29" s="353" t="s">
        <v>298</v>
      </c>
      <c r="C29" s="354" t="s">
        <v>134</v>
      </c>
      <c r="D29" s="334" t="s">
        <v>157</v>
      </c>
      <c r="E29" s="334" t="s">
        <v>154</v>
      </c>
      <c r="F29" s="485" t="s">
        <v>380</v>
      </c>
      <c r="G29" s="522" t="s">
        <v>382</v>
      </c>
      <c r="H29" s="450">
        <v>1</v>
      </c>
      <c r="I29" s="450">
        <v>1</v>
      </c>
      <c r="J29" s="474">
        <v>2240</v>
      </c>
      <c r="K29" s="393">
        <f>IF(F29&lt;&gt;"",H29*I29*J29,"")</f>
        <v>2240</v>
      </c>
      <c r="L29" s="393">
        <f>IF(K29&lt;&gt;"",IF(D29="INTERNO",0,K29*$L$14),"")</f>
        <v>168</v>
      </c>
      <c r="M29" s="393">
        <f>IF(K29&lt;&gt;"",IF(E29="FAT.OGGI",SUM(K29:L29)*(1/(1-$M$14)-1),L29*(1/(1-$M$14)-1)),0)</f>
        <v>584.41953523052086</v>
      </c>
      <c r="N29" s="394">
        <f>SUM(K29:M29)</f>
        <v>2992.419535230521</v>
      </c>
      <c r="Q29" s="395">
        <f>IF(H29&lt;&gt;"",H29,"")</f>
        <v>1</v>
      </c>
      <c r="R29" s="396">
        <f>IF(I29&lt;&gt;"",I29,"")</f>
        <v>1</v>
      </c>
      <c r="S29" s="398">
        <v>2240</v>
      </c>
      <c r="T29" s="566">
        <v>0</v>
      </c>
      <c r="U29" s="399">
        <f>IF(Q29&lt;&gt;"",K29-T29,"")</f>
        <v>2240</v>
      </c>
      <c r="V29" s="400">
        <f>IF(Q29&lt;&gt;"",0%,"")</f>
        <v>0</v>
      </c>
      <c r="W29" s="401">
        <f>IF(Q29&lt;&gt;"",V29*U29,"")</f>
        <v>0</v>
      </c>
      <c r="X29" s="401">
        <f>IF(Q29&lt;&gt;"",W29+T29,"")</f>
        <v>0</v>
      </c>
      <c r="Y29" s="402">
        <f>IF(Q29&lt;&gt;"",X29+M29,"")</f>
        <v>584.41953523052086</v>
      </c>
      <c r="Z29" s="490">
        <f>IF(Q29&lt;&gt;"", IFERROR(U29/K29, 0), 0)</f>
        <v>1</v>
      </c>
      <c r="AA29" s="491">
        <f t="shared" si="12"/>
        <v>0</v>
      </c>
      <c r="AN29" s="518">
        <f t="shared" si="15"/>
        <v>0</v>
      </c>
      <c r="AO29" s="519"/>
    </row>
    <row r="30" spans="1:42" ht="60" customHeight="1" x14ac:dyDescent="0.4">
      <c r="A30" s="334">
        <v>15</v>
      </c>
      <c r="B30" s="353" t="s">
        <v>355</v>
      </c>
      <c r="C30" s="354" t="s">
        <v>134</v>
      </c>
      <c r="D30" s="334" t="s">
        <v>157</v>
      </c>
      <c r="E30" s="334" t="s">
        <v>154</v>
      </c>
      <c r="F30" s="485" t="s">
        <v>380</v>
      </c>
      <c r="G30" s="522" t="s">
        <v>412</v>
      </c>
      <c r="H30" s="450">
        <v>1</v>
      </c>
      <c r="I30" s="450">
        <v>1</v>
      </c>
      <c r="J30" s="474">
        <v>160</v>
      </c>
      <c r="K30" s="393">
        <f t="shared" ref="K30" si="65">IF(F30&lt;&gt;"",H30*I30*J30,"")</f>
        <v>160</v>
      </c>
      <c r="L30" s="393">
        <f t="shared" ref="L30" si="66">IF(K30&lt;&gt;"",IF(D30="INTERNO",0,K30*$L$14),"")</f>
        <v>12</v>
      </c>
      <c r="M30" s="393">
        <f t="shared" ref="M30" si="67">IF(K30&lt;&gt;"",IF(E30="FAT.OGGI",SUM(K30:L30)*(1/(1-$M$14)-1),L30*(1/(1-$M$14)-1)),0)</f>
        <v>41.744252516465778</v>
      </c>
      <c r="N30" s="394">
        <f t="shared" ref="N30" si="68">SUM(K30:M30)</f>
        <v>213.74425251646579</v>
      </c>
      <c r="Q30" s="395">
        <f t="shared" ref="Q30" si="69">IF(H30&lt;&gt;"",H30,"")</f>
        <v>1</v>
      </c>
      <c r="R30" s="396">
        <f t="shared" ref="R30" si="70">IF(I30&lt;&gt;"",I30,"")</f>
        <v>1</v>
      </c>
      <c r="S30" s="398">
        <v>160</v>
      </c>
      <c r="T30" s="398">
        <v>0</v>
      </c>
      <c r="U30" s="399">
        <f t="shared" ref="U30" si="71">IF(Q30&lt;&gt;"",K30-T30,"")</f>
        <v>160</v>
      </c>
      <c r="V30" s="400">
        <f t="shared" ref="V30" si="72">IF(Q30&lt;&gt;"",0%,"")</f>
        <v>0</v>
      </c>
      <c r="W30" s="401">
        <f t="shared" ref="W30" si="73">IF(Q30&lt;&gt;"",V30*U30,"")</f>
        <v>0</v>
      </c>
      <c r="X30" s="401">
        <f t="shared" ref="X30" si="74">IF(Q30&lt;&gt;"",W30+T30,"")</f>
        <v>0</v>
      </c>
      <c r="Y30" s="402">
        <f t="shared" ref="Y30" si="75">IF(Q30&lt;&gt;"",X30+M30,"")</f>
        <v>41.744252516465778</v>
      </c>
      <c r="Z30" s="490">
        <f t="shared" ref="Z30" si="76">IF(Q30&lt;&gt;"", IFERROR(U30/K30, 0), 0)</f>
        <v>1</v>
      </c>
      <c r="AA30" s="491">
        <f t="shared" si="12"/>
        <v>0</v>
      </c>
      <c r="AN30" s="518">
        <f t="shared" si="15"/>
        <v>0</v>
      </c>
      <c r="AO30" s="519"/>
    </row>
    <row r="31" spans="1:42" ht="60" customHeight="1" x14ac:dyDescent="0.4">
      <c r="A31" s="334">
        <v>16</v>
      </c>
      <c r="B31" s="353" t="s">
        <v>356</v>
      </c>
      <c r="C31" s="354" t="s">
        <v>134</v>
      </c>
      <c r="D31" s="334" t="s">
        <v>157</v>
      </c>
      <c r="E31" s="334" t="s">
        <v>154</v>
      </c>
      <c r="F31" s="485" t="s">
        <v>380</v>
      </c>
      <c r="G31" s="522" t="s">
        <v>411</v>
      </c>
      <c r="H31" s="450">
        <v>1</v>
      </c>
      <c r="I31" s="450">
        <v>1</v>
      </c>
      <c r="J31" s="474">
        <f>S31</f>
        <v>345</v>
      </c>
      <c r="K31" s="393">
        <f t="shared" ref="K31" si="77">IF(F31&lt;&gt;"",H31*I31*J31,"")</f>
        <v>345</v>
      </c>
      <c r="L31" s="393">
        <f t="shared" ref="L31" si="78">IF(K31&lt;&gt;"",IF(D31="INTERNO",0,K31*$L$14),"")</f>
        <v>25.875</v>
      </c>
      <c r="M31" s="393">
        <f t="shared" ref="M31" si="79">IF(K31&lt;&gt;"",IF(E31="FAT.OGGI",SUM(K31:L31)*(1/(1-$M$14)-1),L31*(1/(1-$M$14)-1)),0)</f>
        <v>90.011044488629338</v>
      </c>
      <c r="N31" s="394">
        <f t="shared" ref="N31" si="80">SUM(K31:M31)</f>
        <v>460.88604448862935</v>
      </c>
      <c r="Q31" s="395">
        <f t="shared" ref="Q31" si="81">IF(H31&lt;&gt;"",H31,"")</f>
        <v>1</v>
      </c>
      <c r="R31" s="396">
        <v>1</v>
      </c>
      <c r="S31" s="398">
        <v>345</v>
      </c>
      <c r="T31" s="398">
        <v>0</v>
      </c>
      <c r="U31" s="399">
        <f t="shared" ref="U31" si="82">IF(Q31&lt;&gt;"",K31-T31,"")</f>
        <v>345</v>
      </c>
      <c r="V31" s="400">
        <f t="shared" ref="V31" si="83">IF(Q31&lt;&gt;"",0%,"")</f>
        <v>0</v>
      </c>
      <c r="W31" s="401">
        <f t="shared" ref="W31" si="84">IF(Q31&lt;&gt;"",V31*U31,"")</f>
        <v>0</v>
      </c>
      <c r="X31" s="401">
        <f t="shared" ref="X31" si="85">IF(Q31&lt;&gt;"",W31+T31,"")</f>
        <v>0</v>
      </c>
      <c r="Y31" s="402">
        <f t="shared" ref="Y31" si="86">IF(Q31&lt;&gt;"",X31+M31,"")</f>
        <v>90.011044488629338</v>
      </c>
      <c r="Z31" s="490">
        <f t="shared" ref="Z31" si="87">IF(Q31&lt;&gt;"", IFERROR(U31/K31, 0), 0)</f>
        <v>1</v>
      </c>
      <c r="AA31" s="491">
        <f t="shared" ref="AA31" si="88">IFERROR(T31/$T$52, "")</f>
        <v>0</v>
      </c>
      <c r="AN31" s="518">
        <f t="shared" si="15"/>
        <v>0</v>
      </c>
      <c r="AO31" s="519"/>
    </row>
    <row r="32" spans="1:42" ht="60" customHeight="1" x14ac:dyDescent="0.4">
      <c r="A32" s="334">
        <v>16</v>
      </c>
      <c r="B32" s="353" t="s">
        <v>356</v>
      </c>
      <c r="C32" s="354" t="s">
        <v>134</v>
      </c>
      <c r="D32" s="334" t="s">
        <v>157</v>
      </c>
      <c r="E32" s="334" t="s">
        <v>154</v>
      </c>
      <c r="F32" s="485" t="s">
        <v>380</v>
      </c>
      <c r="G32" s="522" t="s">
        <v>409</v>
      </c>
      <c r="H32" s="450">
        <v>1</v>
      </c>
      <c r="I32" s="450">
        <v>0</v>
      </c>
      <c r="J32" s="567">
        <f>S32</f>
        <v>320</v>
      </c>
      <c r="K32" s="393">
        <f t="shared" ref="K32" si="89">IF(F32&lt;&gt;"",H32*I32*J32,"")</f>
        <v>0</v>
      </c>
      <c r="L32" s="393">
        <f t="shared" ref="L32" si="90">IF(K32&lt;&gt;"",IF(D32="INTERNO",0,K32*$L$14),"")</f>
        <v>0</v>
      </c>
      <c r="M32" s="393">
        <f t="shared" ref="M32" si="91">IF(K32&lt;&gt;"",IF(E32="FAT.OGGI",SUM(K32:L32)*(1/(1-$M$14)-1),L32*(1/(1-$M$14)-1)),0)</f>
        <v>0</v>
      </c>
      <c r="N32" s="394">
        <f t="shared" ref="N32" si="92">SUM(K32:M32)</f>
        <v>0</v>
      </c>
      <c r="Q32" s="395">
        <f t="shared" ref="Q32" si="93">IF(H32&lt;&gt;"",H32,"")</f>
        <v>1</v>
      </c>
      <c r="R32" s="396">
        <v>1</v>
      </c>
      <c r="S32" s="398">
        <v>320</v>
      </c>
      <c r="T32" s="398">
        <v>0</v>
      </c>
      <c r="U32" s="399">
        <f t="shared" ref="U32" si="94">IF(Q32&lt;&gt;"",K32-T32,"")</f>
        <v>0</v>
      </c>
      <c r="V32" s="400">
        <f t="shared" ref="V32" si="95">IF(Q32&lt;&gt;"",0%,"")</f>
        <v>0</v>
      </c>
      <c r="W32" s="401">
        <f t="shared" ref="W32" si="96">IF(Q32&lt;&gt;"",V32*U32,"")</f>
        <v>0</v>
      </c>
      <c r="X32" s="401">
        <f t="shared" ref="X32" si="97">IF(Q32&lt;&gt;"",W32+T32,"")</f>
        <v>0</v>
      </c>
      <c r="Y32" s="402">
        <f t="shared" ref="Y32" si="98">IF(Q32&lt;&gt;"",X32+M32,"")</f>
        <v>0</v>
      </c>
      <c r="Z32" s="490">
        <f t="shared" ref="Z32" si="99">IF(Q32&lt;&gt;"", IFERROR(U32/K32, 0), 0)</f>
        <v>0</v>
      </c>
      <c r="AA32" s="491">
        <f>IFERROR(T32/$T$52, "")</f>
        <v>0</v>
      </c>
      <c r="AN32" s="518">
        <f t="shared" si="15"/>
        <v>0</v>
      </c>
      <c r="AO32" s="519"/>
    </row>
    <row r="33" spans="1:42" ht="60" customHeight="1" x14ac:dyDescent="0.4">
      <c r="A33" s="334">
        <v>17</v>
      </c>
      <c r="B33" s="353" t="s">
        <v>402</v>
      </c>
      <c r="C33" s="354" t="s">
        <v>134</v>
      </c>
      <c r="D33" s="334" t="s">
        <v>157</v>
      </c>
      <c r="E33" s="334" t="s">
        <v>154</v>
      </c>
      <c r="F33" s="469" t="s">
        <v>334</v>
      </c>
      <c r="G33" s="470" t="s">
        <v>410</v>
      </c>
      <c r="H33" s="450">
        <v>400</v>
      </c>
      <c r="I33" s="450">
        <v>4</v>
      </c>
      <c r="J33" s="393">
        <v>8.34</v>
      </c>
      <c r="K33" s="393">
        <f t="shared" si="31"/>
        <v>13344</v>
      </c>
      <c r="L33" s="393">
        <f t="shared" ref="L33:L40" si="100">IF(K33&lt;&gt;"",IF(D33="INTERNO",0,K33*$L$14),"")</f>
        <v>1000.8</v>
      </c>
      <c r="M33" s="393">
        <f t="shared" ref="M33:M40" si="101">IF(K33&lt;&gt;"",IF(E33="FAT.OGGI",SUM(K33:L33)*(1/(1-$M$14)-1),L33*(1/(1-$M$14)-1)),0)</f>
        <v>3481.4706598732455</v>
      </c>
      <c r="N33" s="394">
        <f t="shared" ref="N33:N40" si="102">SUM(K33:M33)</f>
        <v>17826.270659873244</v>
      </c>
      <c r="Q33" s="395">
        <f t="shared" ref="Q33:R33" si="103">IF(H33&lt;&gt;"",H33,"")</f>
        <v>400</v>
      </c>
      <c r="R33" s="396">
        <f t="shared" si="103"/>
        <v>4</v>
      </c>
      <c r="S33" s="397">
        <v>8.34</v>
      </c>
      <c r="T33" s="455">
        <v>0</v>
      </c>
      <c r="U33" s="399">
        <f t="shared" ref="U33:U40" si="104">IF(Q33&lt;&gt;"",K33-T33,"")</f>
        <v>13344</v>
      </c>
      <c r="V33" s="400">
        <f t="shared" ref="V33:V40" si="105">IF(Q33&lt;&gt;"",0%,"")</f>
        <v>0</v>
      </c>
      <c r="W33" s="401">
        <f t="shared" ref="W33:W40" si="106">IF(Q33&lt;&gt;"",V33*U33,"")</f>
        <v>0</v>
      </c>
      <c r="X33" s="401">
        <f t="shared" ref="X33:X40" si="107">IF(Q33&lt;&gt;"",W33+T33,"")</f>
        <v>0</v>
      </c>
      <c r="Y33" s="402">
        <f t="shared" ref="Y33:Y52" si="108">IF(Q33&lt;&gt;"",X33+M33,"")</f>
        <v>3481.4706598732455</v>
      </c>
      <c r="Z33" s="382">
        <f t="shared" si="30"/>
        <v>1</v>
      </c>
      <c r="AA33" s="383" t="str">
        <f>IFERROR(T33/#REF!, "")</f>
        <v/>
      </c>
      <c r="AN33" s="518">
        <f t="shared" si="15"/>
        <v>0</v>
      </c>
      <c r="AO33" s="519"/>
    </row>
    <row r="34" spans="1:42" ht="60" customHeight="1" x14ac:dyDescent="0.4">
      <c r="A34" s="334">
        <v>18</v>
      </c>
      <c r="B34" s="353" t="s">
        <v>357</v>
      </c>
      <c r="C34" s="354" t="s">
        <v>134</v>
      </c>
      <c r="D34" s="334" t="s">
        <v>157</v>
      </c>
      <c r="E34" s="334" t="s">
        <v>154</v>
      </c>
      <c r="F34" s="469" t="s">
        <v>299</v>
      </c>
      <c r="G34" s="470" t="s">
        <v>375</v>
      </c>
      <c r="H34" s="450">
        <v>1</v>
      </c>
      <c r="I34" s="450">
        <v>1</v>
      </c>
      <c r="J34" s="474">
        <f>S34*30%+S34</f>
        <v>466.85599999999999</v>
      </c>
      <c r="K34" s="393">
        <f t="shared" ref="K34:K35" si="109">IF(F34&lt;&gt;"",H34*I34*J34,"")</f>
        <v>466.85599999999999</v>
      </c>
      <c r="L34" s="393">
        <f t="shared" si="100"/>
        <v>35.014199999999995</v>
      </c>
      <c r="M34" s="393">
        <f t="shared" si="101"/>
        <v>121.80346720516967</v>
      </c>
      <c r="N34" s="394">
        <f t="shared" si="102"/>
        <v>623.67366720516964</v>
      </c>
      <c r="Q34" s="395">
        <f t="shared" ref="Q34:Q35" si="110">IF(H34&lt;&gt;"",H34,"")</f>
        <v>1</v>
      </c>
      <c r="R34" s="396">
        <f t="shared" ref="R34:R35" si="111">IF(I34&lt;&gt;"",I34,"")</f>
        <v>1</v>
      </c>
      <c r="S34" s="397">
        <v>359.12</v>
      </c>
      <c r="T34" s="455">
        <v>0</v>
      </c>
      <c r="U34" s="399">
        <f t="shared" ref="U34:U35" si="112">IF(Q34&lt;&gt;"",K34-T34,"")</f>
        <v>466.85599999999999</v>
      </c>
      <c r="V34" s="400">
        <f t="shared" ref="V34:V35" si="113">IF(Q34&lt;&gt;"",0%,"")</f>
        <v>0</v>
      </c>
      <c r="W34" s="401">
        <f t="shared" ref="W34:W35" si="114">IF(Q34&lt;&gt;"",V34*U34,"")</f>
        <v>0</v>
      </c>
      <c r="X34" s="401">
        <f t="shared" ref="X34:X35" si="115">IF(Q34&lt;&gt;"",W34+T34,"")</f>
        <v>0</v>
      </c>
      <c r="Y34" s="402">
        <f t="shared" ref="Y34:Y35" si="116">IF(Q34&lt;&gt;"",X34+M34,"")</f>
        <v>121.80346720516967</v>
      </c>
      <c r="Z34" s="382">
        <f t="shared" ref="Z34:Z35" si="117">IF(Q34&lt;&gt;"", IFERROR(U34/K34, 0), 0)</f>
        <v>1</v>
      </c>
      <c r="AA34" s="383" t="str">
        <f>IFERROR(T34/#REF!, "")</f>
        <v/>
      </c>
      <c r="AN34" s="518">
        <f t="shared" si="15"/>
        <v>0</v>
      </c>
      <c r="AO34" s="519"/>
    </row>
    <row r="35" spans="1:42" ht="60" customHeight="1" x14ac:dyDescent="0.4">
      <c r="A35" s="334">
        <v>19</v>
      </c>
      <c r="B35" s="353" t="s">
        <v>358</v>
      </c>
      <c r="C35" s="354" t="s">
        <v>134</v>
      </c>
      <c r="D35" s="334" t="s">
        <v>157</v>
      </c>
      <c r="E35" s="334" t="s">
        <v>154</v>
      </c>
      <c r="F35" s="469" t="s">
        <v>299</v>
      </c>
      <c r="G35" s="470" t="s">
        <v>379</v>
      </c>
      <c r="H35" s="450">
        <v>1</v>
      </c>
      <c r="I35" s="450">
        <v>1</v>
      </c>
      <c r="J35" s="412">
        <v>0</v>
      </c>
      <c r="K35" s="393">
        <f t="shared" si="109"/>
        <v>0</v>
      </c>
      <c r="L35" s="393">
        <f t="shared" si="100"/>
        <v>0</v>
      </c>
      <c r="M35" s="393">
        <f t="shared" si="101"/>
        <v>0</v>
      </c>
      <c r="N35" s="394">
        <f t="shared" si="102"/>
        <v>0</v>
      </c>
      <c r="Q35" s="395">
        <f t="shared" si="110"/>
        <v>1</v>
      </c>
      <c r="R35" s="396">
        <f t="shared" si="111"/>
        <v>1</v>
      </c>
      <c r="S35" s="397">
        <v>0</v>
      </c>
      <c r="T35" s="397">
        <f t="shared" ref="T35:T37" si="118">IF(Q35&lt;&gt;"",Q35*R35*S35,"")</f>
        <v>0</v>
      </c>
      <c r="U35" s="399">
        <f t="shared" si="112"/>
        <v>0</v>
      </c>
      <c r="V35" s="400">
        <f t="shared" si="113"/>
        <v>0</v>
      </c>
      <c r="W35" s="401">
        <f t="shared" si="114"/>
        <v>0</v>
      </c>
      <c r="X35" s="401">
        <f t="shared" si="115"/>
        <v>0</v>
      </c>
      <c r="Y35" s="402">
        <f t="shared" si="116"/>
        <v>0</v>
      </c>
      <c r="Z35" s="382">
        <f t="shared" si="117"/>
        <v>0</v>
      </c>
      <c r="AA35" s="383" t="str">
        <f>IFERROR(T35/#REF!, "")</f>
        <v/>
      </c>
      <c r="AN35" s="518">
        <f t="shared" si="15"/>
        <v>0</v>
      </c>
      <c r="AO35" s="519"/>
    </row>
    <row r="36" spans="1:42" ht="60" customHeight="1" x14ac:dyDescent="0.4">
      <c r="A36" s="334">
        <v>20</v>
      </c>
      <c r="B36" s="353" t="s">
        <v>359</v>
      </c>
      <c r="C36" s="354" t="s">
        <v>134</v>
      </c>
      <c r="D36" s="334" t="s">
        <v>157</v>
      </c>
      <c r="E36" s="334" t="s">
        <v>154</v>
      </c>
      <c r="F36" s="469" t="s">
        <v>299</v>
      </c>
      <c r="G36" s="470" t="s">
        <v>376</v>
      </c>
      <c r="H36" s="450">
        <v>1</v>
      </c>
      <c r="I36" s="450">
        <v>1</v>
      </c>
      <c r="J36" s="412">
        <v>0</v>
      </c>
      <c r="K36" s="393">
        <f t="shared" ref="K36:K37" si="119">IF(F36&lt;&gt;"",H36*I36*J36,"")</f>
        <v>0</v>
      </c>
      <c r="L36" s="393">
        <f t="shared" si="100"/>
        <v>0</v>
      </c>
      <c r="M36" s="393">
        <f t="shared" si="101"/>
        <v>0</v>
      </c>
      <c r="N36" s="394">
        <f t="shared" si="102"/>
        <v>0</v>
      </c>
      <c r="Q36" s="395">
        <f t="shared" ref="Q36:Q37" si="120">IF(H36&lt;&gt;"",H36,"")</f>
        <v>1</v>
      </c>
      <c r="R36" s="396">
        <f t="shared" ref="R36:R37" si="121">IF(I36&lt;&gt;"",I36,"")</f>
        <v>1</v>
      </c>
      <c r="S36" s="397">
        <v>0</v>
      </c>
      <c r="T36" s="397">
        <f t="shared" si="118"/>
        <v>0</v>
      </c>
      <c r="U36" s="399">
        <f t="shared" ref="U36:U37" si="122">IF(Q36&lt;&gt;"",K36-T36,"")</f>
        <v>0</v>
      </c>
      <c r="V36" s="400">
        <f t="shared" ref="V36:V37" si="123">IF(Q36&lt;&gt;"",0%,"")</f>
        <v>0</v>
      </c>
      <c r="W36" s="401">
        <f t="shared" ref="W36:W37" si="124">IF(Q36&lt;&gt;"",V36*U36,"")</f>
        <v>0</v>
      </c>
      <c r="X36" s="401">
        <f t="shared" ref="X36:X37" si="125">IF(Q36&lt;&gt;"",W36+T36,"")</f>
        <v>0</v>
      </c>
      <c r="Y36" s="402">
        <f t="shared" ref="Y36:Y37" si="126">IF(Q36&lt;&gt;"",X36+M36,"")</f>
        <v>0</v>
      </c>
      <c r="Z36" s="382">
        <f t="shared" ref="Z36:Z37" si="127">IF(Q36&lt;&gt;"", IFERROR(U36/K36, 0), 0)</f>
        <v>0</v>
      </c>
      <c r="AA36" s="383" t="str">
        <f>IFERROR(T36/#REF!, "")</f>
        <v/>
      </c>
      <c r="AN36" s="518">
        <f t="shared" si="15"/>
        <v>0</v>
      </c>
      <c r="AO36" s="519"/>
    </row>
    <row r="37" spans="1:42" ht="60" customHeight="1" x14ac:dyDescent="0.4">
      <c r="A37" s="334">
        <v>21</v>
      </c>
      <c r="B37" s="353" t="s">
        <v>360</v>
      </c>
      <c r="C37" s="354" t="s">
        <v>134</v>
      </c>
      <c r="D37" s="334" t="s">
        <v>157</v>
      </c>
      <c r="E37" s="334" t="s">
        <v>154</v>
      </c>
      <c r="F37" s="469" t="s">
        <v>299</v>
      </c>
      <c r="G37" s="470" t="s">
        <v>378</v>
      </c>
      <c r="H37" s="450">
        <v>1</v>
      </c>
      <c r="I37" s="450">
        <v>1</v>
      </c>
      <c r="J37" s="412">
        <v>0</v>
      </c>
      <c r="K37" s="393">
        <f t="shared" si="119"/>
        <v>0</v>
      </c>
      <c r="L37" s="393">
        <f t="shared" si="100"/>
        <v>0</v>
      </c>
      <c r="M37" s="393">
        <f t="shared" si="101"/>
        <v>0</v>
      </c>
      <c r="N37" s="394">
        <f t="shared" si="102"/>
        <v>0</v>
      </c>
      <c r="Q37" s="395">
        <f t="shared" si="120"/>
        <v>1</v>
      </c>
      <c r="R37" s="396">
        <f t="shared" si="121"/>
        <v>1</v>
      </c>
      <c r="S37" s="397">
        <v>0</v>
      </c>
      <c r="T37" s="397">
        <f t="shared" si="118"/>
        <v>0</v>
      </c>
      <c r="U37" s="399">
        <f t="shared" si="122"/>
        <v>0</v>
      </c>
      <c r="V37" s="400">
        <f t="shared" si="123"/>
        <v>0</v>
      </c>
      <c r="W37" s="401">
        <f t="shared" si="124"/>
        <v>0</v>
      </c>
      <c r="X37" s="401">
        <f t="shared" si="125"/>
        <v>0</v>
      </c>
      <c r="Y37" s="402">
        <f t="shared" si="126"/>
        <v>0</v>
      </c>
      <c r="Z37" s="382">
        <f t="shared" si="127"/>
        <v>0</v>
      </c>
      <c r="AA37" s="383" t="str">
        <f>IFERROR(T37/#REF!, "")</f>
        <v/>
      </c>
      <c r="AN37" s="518">
        <f t="shared" si="15"/>
        <v>0</v>
      </c>
      <c r="AO37" s="519"/>
    </row>
    <row r="38" spans="1:42" ht="60" customHeight="1" x14ac:dyDescent="0.4">
      <c r="A38" s="334">
        <v>22</v>
      </c>
      <c r="B38" s="353" t="s">
        <v>361</v>
      </c>
      <c r="C38" s="354" t="s">
        <v>134</v>
      </c>
      <c r="D38" s="334" t="s">
        <v>157</v>
      </c>
      <c r="E38" s="334" t="s">
        <v>154</v>
      </c>
      <c r="F38" s="469" t="s">
        <v>337</v>
      </c>
      <c r="G38" s="470" t="s">
        <v>338</v>
      </c>
      <c r="H38" s="450">
        <v>9</v>
      </c>
      <c r="I38" s="450">
        <v>1</v>
      </c>
      <c r="J38" s="393">
        <v>220</v>
      </c>
      <c r="K38" s="393">
        <f t="shared" si="31"/>
        <v>1980</v>
      </c>
      <c r="L38" s="393">
        <f t="shared" si="100"/>
        <v>148.5</v>
      </c>
      <c r="M38" s="393">
        <f t="shared" si="101"/>
        <v>516.58512489126394</v>
      </c>
      <c r="N38" s="394">
        <f t="shared" si="102"/>
        <v>2645.0851248912641</v>
      </c>
      <c r="Q38" s="395">
        <v>1</v>
      </c>
      <c r="R38" s="396">
        <v>0</v>
      </c>
      <c r="S38" s="397">
        <v>1800</v>
      </c>
      <c r="T38" s="397">
        <f>IF(Q38&lt;&gt;"",Q38*R38*S38,"")</f>
        <v>0</v>
      </c>
      <c r="U38" s="399">
        <f t="shared" si="104"/>
        <v>1980</v>
      </c>
      <c r="V38" s="400">
        <f t="shared" si="105"/>
        <v>0</v>
      </c>
      <c r="W38" s="401">
        <f t="shared" si="106"/>
        <v>0</v>
      </c>
      <c r="X38" s="401">
        <f t="shared" si="107"/>
        <v>0</v>
      </c>
      <c r="Y38" s="402">
        <f t="shared" si="108"/>
        <v>516.58512489126394</v>
      </c>
      <c r="Z38" s="382">
        <f t="shared" si="30"/>
        <v>1</v>
      </c>
      <c r="AA38" s="383">
        <f>IFERROR(T38/$T$25, "")</f>
        <v>0</v>
      </c>
      <c r="AN38" s="518">
        <f t="shared" si="15"/>
        <v>0</v>
      </c>
      <c r="AO38" s="519"/>
    </row>
    <row r="39" spans="1:42" ht="60" customHeight="1" x14ac:dyDescent="0.4">
      <c r="A39" s="334">
        <v>23</v>
      </c>
      <c r="B39" s="353" t="s">
        <v>362</v>
      </c>
      <c r="C39" s="354" t="s">
        <v>134</v>
      </c>
      <c r="D39" s="334" t="s">
        <v>157</v>
      </c>
      <c r="E39" s="334" t="s">
        <v>154</v>
      </c>
      <c r="F39" s="568" t="s">
        <v>336</v>
      </c>
      <c r="G39" s="569" t="s">
        <v>442</v>
      </c>
      <c r="H39" s="450">
        <v>1</v>
      </c>
      <c r="I39" s="450">
        <v>5</v>
      </c>
      <c r="J39" s="393">
        <v>970</v>
      </c>
      <c r="K39" s="393">
        <f t="shared" si="31"/>
        <v>4850</v>
      </c>
      <c r="L39" s="393">
        <f t="shared" si="100"/>
        <v>363.75</v>
      </c>
      <c r="M39" s="393">
        <f t="shared" si="101"/>
        <v>1265.3726544053688</v>
      </c>
      <c r="N39" s="394">
        <f t="shared" si="102"/>
        <v>6479.1226544053688</v>
      </c>
      <c r="Q39" s="395">
        <f t="shared" ref="Q39:Q41" si="128">IF(H39&lt;&gt;"",H39,"")</f>
        <v>1</v>
      </c>
      <c r="R39" s="396">
        <f t="shared" ref="R39:R41" si="129">IF(I39&lt;&gt;"",I39,"")</f>
        <v>5</v>
      </c>
      <c r="S39" s="570">
        <v>440</v>
      </c>
      <c r="T39" s="571">
        <f>IF(Q39&lt;&gt;"",Q39*R39*S39,"")-55.53</f>
        <v>2144.4699999999998</v>
      </c>
      <c r="U39" s="399">
        <f t="shared" si="104"/>
        <v>2705.53</v>
      </c>
      <c r="V39" s="400">
        <f t="shared" si="105"/>
        <v>0</v>
      </c>
      <c r="W39" s="401">
        <f t="shared" si="106"/>
        <v>0</v>
      </c>
      <c r="X39" s="401">
        <f t="shared" si="107"/>
        <v>2144.4699999999998</v>
      </c>
      <c r="Y39" s="402">
        <f t="shared" si="108"/>
        <v>3409.8426544053686</v>
      </c>
      <c r="Z39" s="382">
        <f t="shared" si="30"/>
        <v>0.55784123711340206</v>
      </c>
      <c r="AA39" s="383" t="str">
        <f>IFERROR(T39/#REF!, "")</f>
        <v/>
      </c>
      <c r="AC39" s="530">
        <v>2200</v>
      </c>
      <c r="AE39" s="572">
        <v>46168</v>
      </c>
      <c r="AG39" s="306" t="s">
        <v>348</v>
      </c>
      <c r="AH39" s="306" t="s">
        <v>349</v>
      </c>
      <c r="AJ39" s="306" t="s">
        <v>350</v>
      </c>
      <c r="AK39" s="572">
        <v>46171</v>
      </c>
      <c r="AN39" s="518">
        <f t="shared" si="15"/>
        <v>0</v>
      </c>
      <c r="AO39" s="519">
        <v>2144.4699999999998</v>
      </c>
      <c r="AP39" s="310" t="s">
        <v>475</v>
      </c>
    </row>
    <row r="40" spans="1:42" ht="60" customHeight="1" x14ac:dyDescent="0.4">
      <c r="A40" s="334">
        <v>24</v>
      </c>
      <c r="B40" s="353" t="s">
        <v>363</v>
      </c>
      <c r="C40" s="354" t="s">
        <v>134</v>
      </c>
      <c r="D40" s="334" t="s">
        <v>157</v>
      </c>
      <c r="E40" s="334" t="s">
        <v>154</v>
      </c>
      <c r="F40" s="573" t="s">
        <v>385</v>
      </c>
      <c r="G40" s="569"/>
      <c r="H40" s="450">
        <v>1</v>
      </c>
      <c r="I40" s="450">
        <v>1</v>
      </c>
      <c r="J40" s="393">
        <v>0</v>
      </c>
      <c r="K40" s="393">
        <f t="shared" si="31"/>
        <v>0</v>
      </c>
      <c r="L40" s="393">
        <f t="shared" si="100"/>
        <v>0</v>
      </c>
      <c r="M40" s="393">
        <f t="shared" si="101"/>
        <v>0</v>
      </c>
      <c r="N40" s="394">
        <f t="shared" si="102"/>
        <v>0</v>
      </c>
      <c r="Q40" s="395">
        <f t="shared" si="128"/>
        <v>1</v>
      </c>
      <c r="R40" s="396">
        <f t="shared" si="129"/>
        <v>1</v>
      </c>
      <c r="S40" s="570">
        <v>5500</v>
      </c>
      <c r="T40" s="571">
        <f t="shared" ref="T40" si="130">IF(Q40&lt;&gt;"",Q40*R40*S40,"")</f>
        <v>5500</v>
      </c>
      <c r="U40" s="399">
        <f t="shared" si="104"/>
        <v>-5500</v>
      </c>
      <c r="V40" s="400">
        <f t="shared" si="105"/>
        <v>0</v>
      </c>
      <c r="W40" s="401">
        <f t="shared" si="106"/>
        <v>0</v>
      </c>
      <c r="X40" s="401">
        <f t="shared" si="107"/>
        <v>5500</v>
      </c>
      <c r="Y40" s="402">
        <f t="shared" si="108"/>
        <v>5500</v>
      </c>
      <c r="Z40" s="382">
        <f t="shared" si="30"/>
        <v>0</v>
      </c>
      <c r="AA40" s="383" t="str">
        <f>IFERROR(T40/#REF!, "")</f>
        <v/>
      </c>
      <c r="AC40" s="530">
        <v>2200</v>
      </c>
      <c r="AE40" s="572">
        <v>46168</v>
      </c>
      <c r="AG40" s="306" t="s">
        <v>348</v>
      </c>
      <c r="AH40" s="306" t="s">
        <v>349</v>
      </c>
      <c r="AJ40" s="306" t="s">
        <v>350</v>
      </c>
      <c r="AK40" s="572">
        <v>46171</v>
      </c>
      <c r="AN40" s="518">
        <f t="shared" si="15"/>
        <v>0</v>
      </c>
      <c r="AO40" s="519">
        <v>5500</v>
      </c>
      <c r="AP40" s="310" t="s">
        <v>484</v>
      </c>
    </row>
    <row r="41" spans="1:42" ht="60" customHeight="1" x14ac:dyDescent="0.4">
      <c r="A41" s="334">
        <v>25</v>
      </c>
      <c r="B41" s="353" t="s">
        <v>364</v>
      </c>
      <c r="C41" s="354" t="s">
        <v>134</v>
      </c>
      <c r="D41" s="334" t="s">
        <v>157</v>
      </c>
      <c r="E41" s="334" t="s">
        <v>154</v>
      </c>
      <c r="F41" s="485" t="s">
        <v>395</v>
      </c>
      <c r="G41" s="470"/>
      <c r="H41" s="450">
        <v>1</v>
      </c>
      <c r="I41" s="450">
        <v>1</v>
      </c>
      <c r="J41" s="393">
        <v>0</v>
      </c>
      <c r="K41" s="393">
        <f t="shared" ref="K41" si="131">IF(F41&lt;&gt;"",H41*I41*J41,"")</f>
        <v>0</v>
      </c>
      <c r="L41" s="393">
        <f t="shared" ref="L41" si="132">IF(K41&lt;&gt;"",IF(D41="INTERNO",0,K41*$L$14),"")</f>
        <v>0</v>
      </c>
      <c r="M41" s="393">
        <f t="shared" ref="M41" si="133">IF(K41&lt;&gt;"",IF(E41="FAT.OGGI",SUM(K41:L41)*(1/(1-$M$14)-1),L41*(1/(1-$M$14)-1)),0)</f>
        <v>0</v>
      </c>
      <c r="N41" s="394">
        <f t="shared" ref="N41" si="134">SUM(K41:M41)</f>
        <v>0</v>
      </c>
      <c r="Q41" s="395">
        <f t="shared" si="128"/>
        <v>1</v>
      </c>
      <c r="R41" s="396">
        <f t="shared" si="129"/>
        <v>1</v>
      </c>
      <c r="S41" s="488">
        <v>2500</v>
      </c>
      <c r="T41" s="488">
        <f t="shared" ref="T41" si="135">IF(Q41&lt;&gt;"",Q41*R41*S41,"")</f>
        <v>2500</v>
      </c>
      <c r="U41" s="399">
        <f t="shared" ref="U41" si="136">IF(Q41&lt;&gt;"",K41-T41,"")</f>
        <v>-2500</v>
      </c>
      <c r="V41" s="400">
        <f t="shared" ref="V41" si="137">IF(Q41&lt;&gt;"",0%,"")</f>
        <v>0</v>
      </c>
      <c r="W41" s="401">
        <f t="shared" ref="W41" si="138">IF(Q41&lt;&gt;"",V41*U41,"")</f>
        <v>0</v>
      </c>
      <c r="X41" s="401">
        <f t="shared" ref="X41" si="139">IF(Q41&lt;&gt;"",W41+T41,"")</f>
        <v>2500</v>
      </c>
      <c r="Y41" s="402">
        <f t="shared" ref="Y41" si="140">IF(Q41&lt;&gt;"",X41+M41,"")</f>
        <v>2500</v>
      </c>
      <c r="Z41" s="382">
        <f t="shared" ref="Z41" si="141">IF(Q41&lt;&gt;"", IFERROR(U41/K41, 0), 0)</f>
        <v>0</v>
      </c>
      <c r="AA41" s="383" t="str">
        <f>IFERROR(T41/#REF!, "")</f>
        <v/>
      </c>
      <c r="AC41" s="530">
        <v>2200</v>
      </c>
      <c r="AE41" s="572">
        <v>46168</v>
      </c>
      <c r="AG41" s="306" t="s">
        <v>348</v>
      </c>
      <c r="AH41" s="306" t="s">
        <v>349</v>
      </c>
      <c r="AJ41" s="306" t="s">
        <v>350</v>
      </c>
      <c r="AK41" s="572">
        <v>46171</v>
      </c>
      <c r="AN41" s="518">
        <f t="shared" si="15"/>
        <v>0</v>
      </c>
      <c r="AO41" s="519">
        <v>2500</v>
      </c>
      <c r="AP41" s="310" t="s">
        <v>483</v>
      </c>
    </row>
    <row r="42" spans="1:42" ht="60" customHeight="1" x14ac:dyDescent="0.4">
      <c r="A42" s="334">
        <v>27</v>
      </c>
      <c r="B42" s="353" t="s">
        <v>365</v>
      </c>
      <c r="C42" s="354" t="s">
        <v>134</v>
      </c>
      <c r="D42" s="334" t="s">
        <v>157</v>
      </c>
      <c r="E42" s="334" t="s">
        <v>154</v>
      </c>
      <c r="F42" s="469" t="s">
        <v>407</v>
      </c>
      <c r="G42" s="470" t="s">
        <v>403</v>
      </c>
      <c r="H42" s="450">
        <v>1</v>
      </c>
      <c r="I42" s="450">
        <v>1</v>
      </c>
      <c r="J42" s="393">
        <f>S42*20%+S42</f>
        <v>2748.6</v>
      </c>
      <c r="K42" s="393">
        <f>IF(F42&lt;&gt;"",H42*I42*J42,"")</f>
        <v>2748.6</v>
      </c>
      <c r="L42" s="393">
        <f>IF(K42&lt;&gt;"",IF(D42="INTERNO",0,K42*$L$14),"")</f>
        <v>206.14499999999998</v>
      </c>
      <c r="M42" s="393">
        <f>IF(K42&lt;&gt;"",IF(E42="FAT.OGGI",SUM(K42:L42)*(1/(1-$M$14)-1),L42*(1/(1-$M$14)-1)),0)</f>
        <v>717.11407791723639</v>
      </c>
      <c r="N42" s="394">
        <f>SUM(K42:M42)</f>
        <v>3671.8590779172364</v>
      </c>
      <c r="Q42" s="395">
        <f>IF(H42&lt;&gt;"",H42,"")</f>
        <v>1</v>
      </c>
      <c r="R42" s="396">
        <v>0</v>
      </c>
      <c r="S42" s="397">
        <f>435.84+345.36+248.84+460.64+799.82</f>
        <v>2290.5</v>
      </c>
      <c r="T42" s="397">
        <f>IF(Q42&lt;&gt;"",Q42*R42*S42,"")</f>
        <v>0</v>
      </c>
      <c r="U42" s="399">
        <f>IF(Q42&lt;&gt;"",K42-T42,"")</f>
        <v>2748.6</v>
      </c>
      <c r="V42" s="400">
        <f>IF(Q42&lt;&gt;"",0%,"")</f>
        <v>0</v>
      </c>
      <c r="W42" s="401">
        <f>IF(Q42&lt;&gt;"",V42*U42,"")</f>
        <v>0</v>
      </c>
      <c r="X42" s="401">
        <f>IF(Q42&lt;&gt;"",W42+T42,"")</f>
        <v>0</v>
      </c>
      <c r="Y42" s="402">
        <f>IF(Q42&lt;&gt;"",X42+M42,"")</f>
        <v>717.11407791723639</v>
      </c>
      <c r="Z42" s="382">
        <f>IF(Q42&lt;&gt;"", IFERROR(U42/K42, 0), 0)</f>
        <v>1</v>
      </c>
      <c r="AA42" s="383" t="str">
        <f>IFERROR(T42/#REF!, "")</f>
        <v/>
      </c>
      <c r="AN42" s="518">
        <f t="shared" si="15"/>
        <v>0</v>
      </c>
      <c r="AO42" s="519"/>
    </row>
    <row r="43" spans="1:42" ht="60" customHeight="1" x14ac:dyDescent="0.4">
      <c r="A43" s="334">
        <v>28</v>
      </c>
      <c r="B43" s="353" t="s">
        <v>366</v>
      </c>
      <c r="C43" s="354" t="s">
        <v>134</v>
      </c>
      <c r="D43" s="334" t="s">
        <v>157</v>
      </c>
      <c r="E43" s="334" t="s">
        <v>154</v>
      </c>
      <c r="F43" s="485" t="s">
        <v>399</v>
      </c>
      <c r="G43" s="470" t="s">
        <v>399</v>
      </c>
      <c r="H43" s="450">
        <v>1</v>
      </c>
      <c r="I43" s="450">
        <v>1</v>
      </c>
      <c r="J43" s="393">
        <f>S43*20%+S43</f>
        <v>923.80799999999999</v>
      </c>
      <c r="K43" s="393">
        <f>IF(F43&lt;&gt;"",H43*I43*J43,"")</f>
        <v>923.80799999999999</v>
      </c>
      <c r="L43" s="393">
        <f>IF(K43&lt;&gt;"",IF(D43="INTERNO",0,K43*$L$14),"")</f>
        <v>69.285600000000002</v>
      </c>
      <c r="M43" s="393">
        <f>IF(K43&lt;&gt;"",IF(E43="FAT.OGGI",SUM(K43:L43)*(1/(1-$M$14)-1),L43*(1/(1-$M$14)-1)),0)</f>
        <v>241.02296517957012</v>
      </c>
      <c r="N43" s="394">
        <f>SUM(K43:M43)</f>
        <v>1234.1165651795702</v>
      </c>
      <c r="Q43" s="395">
        <f>IF(H43&lt;&gt;"",H43,"")</f>
        <v>1</v>
      </c>
      <c r="R43" s="396">
        <v>0</v>
      </c>
      <c r="S43" s="397">
        <v>769.84</v>
      </c>
      <c r="T43" s="398">
        <f>IF(Q43&lt;&gt;"",Q43*R43*S43,"")</f>
        <v>0</v>
      </c>
      <c r="U43" s="399">
        <f>IF(Q43&lt;&gt;"",K43-T43,"")</f>
        <v>923.80799999999999</v>
      </c>
      <c r="V43" s="400">
        <f>IF(Q43&lt;&gt;"",0%,"")</f>
        <v>0</v>
      </c>
      <c r="W43" s="401">
        <f>IF(Q43&lt;&gt;"",V43*U43,"")</f>
        <v>0</v>
      </c>
      <c r="X43" s="401">
        <f>IF(Q43&lt;&gt;"",W43+T43,"")</f>
        <v>0</v>
      </c>
      <c r="Y43" s="402">
        <f>IF(Q43&lt;&gt;"",X43+M43,"")</f>
        <v>241.02296517957012</v>
      </c>
      <c r="Z43" s="382">
        <f>IF(Q43&lt;&gt;"", IFERROR(U43/K43, 0), 0)</f>
        <v>1</v>
      </c>
      <c r="AA43" s="383" t="str">
        <f>IFERROR(T43/#REF!, "")</f>
        <v/>
      </c>
      <c r="AC43" s="530">
        <v>2200</v>
      </c>
      <c r="AE43" s="572">
        <v>46168</v>
      </c>
      <c r="AG43" s="306" t="s">
        <v>348</v>
      </c>
      <c r="AH43" s="306" t="s">
        <v>349</v>
      </c>
      <c r="AJ43" s="306" t="s">
        <v>350</v>
      </c>
      <c r="AK43" s="572">
        <v>46171</v>
      </c>
      <c r="AN43" s="518">
        <f t="shared" si="15"/>
        <v>0</v>
      </c>
      <c r="AO43" s="519"/>
    </row>
    <row r="44" spans="1:42" ht="60" customHeight="1" x14ac:dyDescent="0.4">
      <c r="A44" s="334">
        <v>29</v>
      </c>
      <c r="B44" s="353" t="s">
        <v>367</v>
      </c>
      <c r="C44" s="354" t="s">
        <v>134</v>
      </c>
      <c r="D44" s="334" t="s">
        <v>157</v>
      </c>
      <c r="E44" s="334" t="s">
        <v>154</v>
      </c>
      <c r="F44" s="485" t="s">
        <v>287</v>
      </c>
      <c r="G44" s="470" t="s">
        <v>404</v>
      </c>
      <c r="H44" s="450">
        <v>1</v>
      </c>
      <c r="I44" s="450">
        <v>1</v>
      </c>
      <c r="J44" s="393">
        <v>8660</v>
      </c>
      <c r="K44" s="393">
        <f>IF(F44&lt;&gt;"",H44*I44*J44,"")</f>
        <v>8660</v>
      </c>
      <c r="L44" s="393">
        <f>IF(K44&lt;&gt;"",IF(D44="INTERNO",0,K44*$L$14),"")</f>
        <v>649.5</v>
      </c>
      <c r="M44" s="393">
        <f>IF(K44&lt;&gt;"",IF(E44="FAT.OGGI",SUM(K44:L44)*(1/(1-$M$14)-1),L44*(1/(1-$M$14)-1)),0)</f>
        <v>2259.40766745371</v>
      </c>
      <c r="N44" s="394">
        <f>SUM(K44:M44)</f>
        <v>11568.90766745371</v>
      </c>
      <c r="Q44" s="574">
        <f>IF(H44&lt;&gt;"",H44,"")</f>
        <v>1</v>
      </c>
      <c r="R44" s="575">
        <v>1</v>
      </c>
      <c r="S44" s="576">
        <f>'Opções de Estande - ND'!N38+'Opções de Estande - ND'!K45</f>
        <v>-91313.998399999982</v>
      </c>
      <c r="T44" s="576">
        <v>0</v>
      </c>
      <c r="U44" s="399">
        <f>IF(Q44&lt;&gt;"",K44-T44,"")</f>
        <v>8660</v>
      </c>
      <c r="V44" s="400">
        <f>IF(Q44&lt;&gt;"",0%,"")</f>
        <v>0</v>
      </c>
      <c r="W44" s="401">
        <f>IF(Q44&lt;&gt;"",V44*U44,"")</f>
        <v>0</v>
      </c>
      <c r="X44" s="401">
        <f>IF(Q44&lt;&gt;"",W44+T44,"")</f>
        <v>0</v>
      </c>
      <c r="Y44" s="402">
        <f>IF(Q44&lt;&gt;"",X44+M44,"")</f>
        <v>2259.40766745371</v>
      </c>
      <c r="Z44" s="382">
        <f>IF(Q44&lt;&gt;"", IFERROR(U44/K44, 0), 0)</f>
        <v>1</v>
      </c>
      <c r="AA44" s="383" t="str">
        <f>IFERROR(T44/#REF!, "")</f>
        <v/>
      </c>
      <c r="AC44" s="530">
        <v>2200</v>
      </c>
      <c r="AE44" s="572">
        <v>46168</v>
      </c>
      <c r="AG44" s="306" t="s">
        <v>348</v>
      </c>
      <c r="AH44" s="306" t="s">
        <v>349</v>
      </c>
      <c r="AJ44" s="306" t="s">
        <v>350</v>
      </c>
      <c r="AK44" s="572">
        <v>46171</v>
      </c>
      <c r="AN44" s="518">
        <f t="shared" si="15"/>
        <v>0</v>
      </c>
      <c r="AO44" s="519"/>
    </row>
    <row r="45" spans="1:42" ht="60" customHeight="1" x14ac:dyDescent="0.4">
      <c r="A45" s="334">
        <v>30</v>
      </c>
      <c r="B45" s="353" t="s">
        <v>368</v>
      </c>
      <c r="C45" s="354" t="s">
        <v>134</v>
      </c>
      <c r="D45" s="334" t="s">
        <v>157</v>
      </c>
      <c r="E45" s="334" t="s">
        <v>154</v>
      </c>
      <c r="F45" s="485" t="s">
        <v>287</v>
      </c>
      <c r="G45" s="470" t="s">
        <v>405</v>
      </c>
      <c r="H45" s="450">
        <v>1</v>
      </c>
      <c r="I45" s="450">
        <v>1</v>
      </c>
      <c r="J45" s="393">
        <v>3260</v>
      </c>
      <c r="K45" s="393">
        <f>IF(F45&lt;&gt;"",H45*I45*J45,"")</f>
        <v>3260</v>
      </c>
      <c r="L45" s="393">
        <f>IF(K45&lt;&gt;"",IF(D45="INTERNO",0,K45*$L$14),"")</f>
        <v>244.5</v>
      </c>
      <c r="M45" s="393">
        <f>IF(K45&lt;&gt;"",IF(E45="FAT.OGGI",SUM(K45:L45)*(1/(1-$M$14)-1),L45*(1/(1-$M$14)-1)),0)</f>
        <v>850.53914502299017</v>
      </c>
      <c r="N45" s="394">
        <f>SUM(K45:M45)</f>
        <v>4355.0391450229899</v>
      </c>
      <c r="Q45" s="395">
        <f>IF(H45&lt;&gt;"",H45,"")</f>
        <v>1</v>
      </c>
      <c r="R45" s="396">
        <v>1</v>
      </c>
      <c r="S45" s="397">
        <v>7310.18</v>
      </c>
      <c r="T45" s="398">
        <v>0</v>
      </c>
      <c r="U45" s="399">
        <f>IF(Q45&lt;&gt;"",K45-T45,"")</f>
        <v>3260</v>
      </c>
      <c r="V45" s="400">
        <f>IF(Q45&lt;&gt;"",0%,"")</f>
        <v>0</v>
      </c>
      <c r="W45" s="401">
        <f>IF(Q45&lt;&gt;"",V45*U45,"")</f>
        <v>0</v>
      </c>
      <c r="X45" s="401">
        <f>IF(Q45&lt;&gt;"",W45+T45,"")</f>
        <v>0</v>
      </c>
      <c r="Y45" s="402">
        <f>IF(Q45&lt;&gt;"",X45+M45,"")</f>
        <v>850.53914502299017</v>
      </c>
      <c r="Z45" s="382">
        <f>IF(Q45&lt;&gt;"", IFERROR(U45/K45, 0), 0)</f>
        <v>1</v>
      </c>
      <c r="AA45" s="383" t="str">
        <f>IFERROR(T45/#REF!, "")</f>
        <v/>
      </c>
      <c r="AC45" s="530">
        <v>2200</v>
      </c>
      <c r="AE45" s="572">
        <v>46168</v>
      </c>
      <c r="AG45" s="306" t="s">
        <v>348</v>
      </c>
      <c r="AH45" s="306" t="s">
        <v>349</v>
      </c>
      <c r="AJ45" s="306" t="s">
        <v>350</v>
      </c>
      <c r="AK45" s="572">
        <v>46171</v>
      </c>
      <c r="AN45" s="518">
        <f t="shared" si="15"/>
        <v>0</v>
      </c>
      <c r="AO45" s="519"/>
    </row>
    <row r="46" spans="1:42" ht="60" customHeight="1" x14ac:dyDescent="0.4">
      <c r="A46" s="334">
        <v>43</v>
      </c>
      <c r="B46" s="353" t="s">
        <v>369</v>
      </c>
      <c r="C46" s="354" t="s">
        <v>134</v>
      </c>
      <c r="D46" s="334" t="s">
        <v>157</v>
      </c>
      <c r="E46" s="334" t="s">
        <v>154</v>
      </c>
      <c r="F46" s="485" t="s">
        <v>205</v>
      </c>
      <c r="G46" s="470" t="s">
        <v>397</v>
      </c>
      <c r="H46" s="450">
        <v>1</v>
      </c>
      <c r="I46" s="450">
        <v>1</v>
      </c>
      <c r="J46" s="393">
        <v>756.68</v>
      </c>
      <c r="K46" s="393">
        <f t="shared" ref="K46" si="142">IF(F46&lt;&gt;"",H46*I46*J46,"")</f>
        <v>756.68</v>
      </c>
      <c r="L46" s="393">
        <f t="shared" ref="L46" si="143">IF(K46&lt;&gt;"",IF(D46="INTERNO",0,K46*$L$14),"")</f>
        <v>56.750999999999998</v>
      </c>
      <c r="M46" s="393">
        <f t="shared" ref="M46" si="144">IF(K46&lt;&gt;"",IF(E46="FAT.OGGI",SUM(K46:L46)*(1/(1-$M$14)-1),L46*(1/(1-$M$14)-1)),0)</f>
        <v>197.41900621349575</v>
      </c>
      <c r="N46" s="394">
        <f t="shared" ref="N46" si="145">SUM(K46:M46)</f>
        <v>1010.8500062134957</v>
      </c>
      <c r="Q46" s="395">
        <f t="shared" ref="Q46" si="146">IF(H46&lt;&gt;"",H46,"")</f>
        <v>1</v>
      </c>
      <c r="R46" s="396">
        <v>0</v>
      </c>
      <c r="S46" s="397">
        <v>187.99</v>
      </c>
      <c r="T46" s="398">
        <f t="shared" ref="T46" si="147">IF(Q46&lt;&gt;"",Q46*R46*S46,"")</f>
        <v>0</v>
      </c>
      <c r="U46" s="399">
        <f t="shared" ref="U46" si="148">IF(Q46&lt;&gt;"",K46-T46,"")</f>
        <v>756.68</v>
      </c>
      <c r="V46" s="400">
        <f t="shared" ref="V46" si="149">IF(Q46&lt;&gt;"",0%,"")</f>
        <v>0</v>
      </c>
      <c r="W46" s="401">
        <f t="shared" ref="W46" si="150">IF(Q46&lt;&gt;"",V46*U46,"")</f>
        <v>0</v>
      </c>
      <c r="X46" s="401">
        <f t="shared" ref="X46" si="151">IF(Q46&lt;&gt;"",W46+T46,"")</f>
        <v>0</v>
      </c>
      <c r="Y46" s="402">
        <f t="shared" ref="Y46" si="152">IF(Q46&lt;&gt;"",X46+M46,"")</f>
        <v>197.41900621349575</v>
      </c>
      <c r="Z46" s="382">
        <f t="shared" ref="Z46" si="153">IF(Q46&lt;&gt;"", IFERROR(U46/K46, 0), 0)</f>
        <v>1</v>
      </c>
      <c r="AA46" s="383" t="str">
        <f>IFERROR(T46/#REF!, "")</f>
        <v/>
      </c>
      <c r="AC46" s="530">
        <v>2200</v>
      </c>
      <c r="AE46" s="572">
        <v>46168</v>
      </c>
      <c r="AG46" s="306" t="s">
        <v>348</v>
      </c>
      <c r="AH46" s="306" t="s">
        <v>349</v>
      </c>
      <c r="AJ46" s="306" t="s">
        <v>350</v>
      </c>
      <c r="AK46" s="572">
        <v>46171</v>
      </c>
      <c r="AN46" s="518">
        <f t="shared" si="15"/>
        <v>0</v>
      </c>
      <c r="AO46" s="519"/>
    </row>
    <row r="47" spans="1:42" ht="60" customHeight="1" x14ac:dyDescent="0.4">
      <c r="A47" s="334">
        <v>44</v>
      </c>
      <c r="B47" s="353" t="s">
        <v>370</v>
      </c>
      <c r="C47" s="354" t="s">
        <v>134</v>
      </c>
      <c r="D47" s="334" t="s">
        <v>157</v>
      </c>
      <c r="E47" s="334" t="s">
        <v>154</v>
      </c>
      <c r="F47" s="485" t="s">
        <v>205</v>
      </c>
      <c r="G47" s="470" t="s">
        <v>396</v>
      </c>
      <c r="H47" s="450">
        <v>1</v>
      </c>
      <c r="I47" s="450">
        <v>1</v>
      </c>
      <c r="J47" s="393">
        <v>746.75</v>
      </c>
      <c r="K47" s="393">
        <f>IF(F47&lt;&gt;"",H47*I47*J47,"")</f>
        <v>746.75</v>
      </c>
      <c r="L47" s="393">
        <f>IF(K47&lt;&gt;"",IF(D47="INTERNO",0,K47*$L$14),"")</f>
        <v>56.006250000000001</v>
      </c>
      <c r="M47" s="393">
        <f>IF(K47&lt;&gt;"",IF(E47="FAT.OGGI",SUM(K47:L47)*(1/(1-$M$14)-1),L47*(1/(1-$M$14)-1)),0)</f>
        <v>194.82825354169262</v>
      </c>
      <c r="N47" s="394">
        <f>SUM(K47:M47)</f>
        <v>997.58450354169258</v>
      </c>
      <c r="Q47" s="395">
        <f>IF(H47&lt;&gt;"",H47,"")</f>
        <v>1</v>
      </c>
      <c r="R47" s="396">
        <v>0</v>
      </c>
      <c r="S47" s="397">
        <v>746.75</v>
      </c>
      <c r="T47" s="398">
        <f>IF(Q47&lt;&gt;"",Q47*R47*S47,"")</f>
        <v>0</v>
      </c>
      <c r="U47" s="399">
        <f>IF(Q47&lt;&gt;"",K47-T47,"")</f>
        <v>746.75</v>
      </c>
      <c r="V47" s="400">
        <f>IF(Q47&lt;&gt;"",0%,"")</f>
        <v>0</v>
      </c>
      <c r="W47" s="401">
        <f>IF(Q47&lt;&gt;"",V47*U47,"")</f>
        <v>0</v>
      </c>
      <c r="X47" s="401">
        <f>IF(Q47&lt;&gt;"",W47+T47,"")</f>
        <v>0</v>
      </c>
      <c r="Y47" s="402">
        <f>IF(Q47&lt;&gt;"",X47+M47,"")</f>
        <v>194.82825354169262</v>
      </c>
      <c r="Z47" s="382">
        <f>IF(Q47&lt;&gt;"", IFERROR(U47/K47, 0), 0)</f>
        <v>1</v>
      </c>
      <c r="AA47" s="383" t="str">
        <f>IFERROR(T47/#REF!, "")</f>
        <v/>
      </c>
      <c r="AC47" s="530">
        <v>2200</v>
      </c>
      <c r="AE47" s="572">
        <v>46168</v>
      </c>
      <c r="AG47" s="306" t="s">
        <v>348</v>
      </c>
      <c r="AH47" s="306" t="s">
        <v>349</v>
      </c>
      <c r="AJ47" s="306" t="s">
        <v>350</v>
      </c>
      <c r="AK47" s="572">
        <v>46171</v>
      </c>
      <c r="AN47" s="518">
        <f t="shared" si="15"/>
        <v>0</v>
      </c>
      <c r="AO47" s="519"/>
    </row>
    <row r="48" spans="1:42" ht="60" customHeight="1" x14ac:dyDescent="0.4">
      <c r="A48" s="334">
        <v>45</v>
      </c>
      <c r="B48" s="353" t="s">
        <v>371</v>
      </c>
      <c r="C48" s="354" t="s">
        <v>134</v>
      </c>
      <c r="D48" s="334" t="s">
        <v>157</v>
      </c>
      <c r="E48" s="334" t="s">
        <v>154</v>
      </c>
      <c r="F48" s="485" t="s">
        <v>181</v>
      </c>
      <c r="G48" s="470" t="s">
        <v>398</v>
      </c>
      <c r="H48" s="450">
        <v>1</v>
      </c>
      <c r="I48" s="450">
        <v>1</v>
      </c>
      <c r="J48" s="393">
        <v>639.96</v>
      </c>
      <c r="K48" s="393">
        <f>IF(F48&lt;&gt;"",H48*I48*J48,"")</f>
        <v>639.96</v>
      </c>
      <c r="L48" s="393">
        <f>IF(K48&lt;&gt;"",IF(D48="INTERNO",0,K48*$L$14),"")</f>
        <v>47.997</v>
      </c>
      <c r="M48" s="393">
        <f>IF(K48&lt;&gt;"",IF(E48="FAT.OGGI",SUM(K48:L48)*(1/(1-$M$14)-1),L48*(1/(1-$M$14)-1)),0)</f>
        <v>166.96657400273398</v>
      </c>
      <c r="N48" s="394">
        <f>SUM(K48:M48)</f>
        <v>854.92357400273397</v>
      </c>
      <c r="Q48" s="395">
        <f>IF(H48&lt;&gt;"",H48,"")</f>
        <v>1</v>
      </c>
      <c r="R48" s="396">
        <v>0</v>
      </c>
      <c r="S48" s="397">
        <v>360</v>
      </c>
      <c r="T48" s="398">
        <f>IF(Q48&lt;&gt;"",Q48*R48*S48,"")</f>
        <v>0</v>
      </c>
      <c r="U48" s="399">
        <f>IF(Q48&lt;&gt;"",K48-T48,"")</f>
        <v>639.96</v>
      </c>
      <c r="V48" s="400">
        <f>IF(Q48&lt;&gt;"",0%,"")</f>
        <v>0</v>
      </c>
      <c r="W48" s="401">
        <f>IF(Q48&lt;&gt;"",V48*U48,"")</f>
        <v>0</v>
      </c>
      <c r="X48" s="401">
        <f>IF(Q48&lt;&gt;"",W48+T48,"")</f>
        <v>0</v>
      </c>
      <c r="Y48" s="402">
        <f>IF(Q48&lt;&gt;"",X48+M48,"")</f>
        <v>166.96657400273398</v>
      </c>
      <c r="Z48" s="382">
        <f>IF(Q48&lt;&gt;"", IFERROR(U48/K48, 0), 0)</f>
        <v>1</v>
      </c>
      <c r="AA48" s="383" t="str">
        <f>IFERROR(T48/#REF!, "")</f>
        <v/>
      </c>
      <c r="AC48" s="530">
        <v>2200</v>
      </c>
      <c r="AE48" s="572">
        <v>46168</v>
      </c>
      <c r="AG48" s="306" t="s">
        <v>348</v>
      </c>
      <c r="AH48" s="306" t="s">
        <v>349</v>
      </c>
      <c r="AJ48" s="306" t="s">
        <v>350</v>
      </c>
      <c r="AK48" s="572">
        <v>46171</v>
      </c>
      <c r="AN48" s="518">
        <f t="shared" si="15"/>
        <v>0</v>
      </c>
      <c r="AO48" s="519"/>
    </row>
    <row r="49" spans="1:42" ht="60" customHeight="1" x14ac:dyDescent="0.4">
      <c r="A49" s="334">
        <v>46</v>
      </c>
      <c r="B49" s="353" t="s">
        <v>372</v>
      </c>
      <c r="C49" s="354" t="s">
        <v>134</v>
      </c>
      <c r="D49" s="334" t="s">
        <v>157</v>
      </c>
      <c r="E49" s="334" t="s">
        <v>154</v>
      </c>
      <c r="F49" s="485" t="s">
        <v>351</v>
      </c>
      <c r="G49" s="470" t="s">
        <v>420</v>
      </c>
      <c r="H49" s="450">
        <v>1</v>
      </c>
      <c r="I49" s="450">
        <v>1</v>
      </c>
      <c r="J49" s="393">
        <f>S49*20%+S49</f>
        <v>262.28399999999999</v>
      </c>
      <c r="K49" s="393">
        <f>IF(F49&lt;&gt;"",H49*I49*J49,"")</f>
        <v>262.28399999999999</v>
      </c>
      <c r="L49" s="393">
        <f>IF(K49&lt;&gt;"",IF(D49="INTERNO",0,K49*$L$14),"")</f>
        <v>19.671299999999999</v>
      </c>
      <c r="M49" s="393">
        <f>IF(K49&lt;&gt;"",IF(E49="FAT.OGGI",SUM(K49:L49)*(1/(1-$M$14)-1),L49*(1/(1-$M$14)-1)),0)</f>
        <v>68.430309543929425</v>
      </c>
      <c r="N49" s="394">
        <f>SUM(K49:M49)</f>
        <v>350.38560954392938</v>
      </c>
      <c r="Q49" s="395">
        <f>IF(H49&lt;&gt;"",H49,"")</f>
        <v>1</v>
      </c>
      <c r="R49" s="396">
        <v>0</v>
      </c>
      <c r="S49" s="397">
        <v>218.57</v>
      </c>
      <c r="T49" s="398">
        <f>IF(Q49&lt;&gt;"",Q49*R49*S49,"")</f>
        <v>0</v>
      </c>
      <c r="U49" s="399">
        <f>IF(Q49&lt;&gt;"",K49-T49,"")</f>
        <v>262.28399999999999</v>
      </c>
      <c r="V49" s="400">
        <f>IF(Q49&lt;&gt;"",0%,"")</f>
        <v>0</v>
      </c>
      <c r="W49" s="401">
        <f>IF(Q49&lt;&gt;"",V49*U49,"")</f>
        <v>0</v>
      </c>
      <c r="X49" s="401">
        <f>IF(Q49&lt;&gt;"",W49+T49,"")</f>
        <v>0</v>
      </c>
      <c r="Y49" s="402">
        <f>IF(Q49&lt;&gt;"",X49+M49,"")</f>
        <v>68.430309543929425</v>
      </c>
      <c r="Z49" s="382">
        <f>IF(Q49&lt;&gt;"", IFERROR(U49/K49, 0), 0)</f>
        <v>1</v>
      </c>
      <c r="AA49" s="383" t="str">
        <f>IFERROR(T49/#REF!, "")</f>
        <v/>
      </c>
      <c r="AC49" s="530">
        <v>2200</v>
      </c>
      <c r="AE49" s="572">
        <v>46168</v>
      </c>
      <c r="AG49" s="306" t="s">
        <v>348</v>
      </c>
      <c r="AH49" s="306" t="s">
        <v>349</v>
      </c>
      <c r="AJ49" s="306" t="s">
        <v>350</v>
      </c>
      <c r="AK49" s="572">
        <v>46171</v>
      </c>
      <c r="AN49" s="518">
        <f t="shared" si="15"/>
        <v>0</v>
      </c>
      <c r="AO49" s="519"/>
    </row>
    <row r="50" spans="1:42" ht="60" customHeight="1" x14ac:dyDescent="0.4">
      <c r="A50" s="334">
        <v>47</v>
      </c>
      <c r="B50" s="353" t="s">
        <v>373</v>
      </c>
      <c r="C50" s="354" t="s">
        <v>134</v>
      </c>
      <c r="D50" s="334" t="s">
        <v>157</v>
      </c>
      <c r="E50" s="334" t="s">
        <v>154</v>
      </c>
      <c r="F50" s="485" t="s">
        <v>351</v>
      </c>
      <c r="G50" s="470" t="s">
        <v>400</v>
      </c>
      <c r="H50" s="450">
        <v>1</v>
      </c>
      <c r="I50" s="450">
        <v>1</v>
      </c>
      <c r="J50" s="393">
        <f>S50*20%+S50</f>
        <v>227.988</v>
      </c>
      <c r="K50" s="393">
        <f t="shared" ref="K50" si="154">IF(F50&lt;&gt;"",H50*I50*J50,"")</f>
        <v>227.988</v>
      </c>
      <c r="L50" s="393">
        <f t="shared" ref="L50" si="155">IF(K50&lt;&gt;"",IF(D50="INTERNO",0,K50*$L$14),"")</f>
        <v>17.0991</v>
      </c>
      <c r="M50" s="393">
        <f t="shared" ref="M50" si="156">IF(K50&lt;&gt;"",IF(E50="FAT.OGGI",SUM(K50:L50)*(1/(1-$M$14)-1),L50*(1/(1-$M$14)-1)),0)</f>
        <v>59.482429017024998</v>
      </c>
      <c r="N50" s="394">
        <f t="shared" ref="N50" si="157">SUM(K50:M50)</f>
        <v>304.56952901702499</v>
      </c>
      <c r="Q50" s="395">
        <f t="shared" ref="Q50" si="158">IF(H50&lt;&gt;"",H50,"")</f>
        <v>1</v>
      </c>
      <c r="R50" s="396">
        <v>0</v>
      </c>
      <c r="S50" s="397">
        <v>189.99</v>
      </c>
      <c r="T50" s="398">
        <f t="shared" ref="T50" si="159">IF(Q50&lt;&gt;"",Q50*R50*S50,"")</f>
        <v>0</v>
      </c>
      <c r="U50" s="399">
        <f t="shared" ref="U50" si="160">IF(Q50&lt;&gt;"",K50-T50,"")</f>
        <v>227.988</v>
      </c>
      <c r="V50" s="400">
        <f t="shared" ref="V50" si="161">IF(Q50&lt;&gt;"",0%,"")</f>
        <v>0</v>
      </c>
      <c r="W50" s="401">
        <f t="shared" ref="W50" si="162">IF(Q50&lt;&gt;"",V50*U50,"")</f>
        <v>0</v>
      </c>
      <c r="X50" s="401">
        <f t="shared" ref="X50" si="163">IF(Q50&lt;&gt;"",W50+T50,"")</f>
        <v>0</v>
      </c>
      <c r="Y50" s="402">
        <f t="shared" ref="Y50" si="164">IF(Q50&lt;&gt;"",X50+M50,"")</f>
        <v>59.482429017024998</v>
      </c>
      <c r="Z50" s="382">
        <f t="shared" ref="Z50" si="165">IF(Q50&lt;&gt;"", IFERROR(U50/K50, 0), 0)</f>
        <v>1</v>
      </c>
      <c r="AA50" s="383" t="str">
        <f>IFERROR(T50/#REF!, "")</f>
        <v/>
      </c>
      <c r="AC50" s="530">
        <v>2200</v>
      </c>
      <c r="AE50" s="572">
        <v>46168</v>
      </c>
      <c r="AG50" s="306" t="s">
        <v>348</v>
      </c>
      <c r="AH50" s="306" t="s">
        <v>349</v>
      </c>
      <c r="AJ50" s="306" t="s">
        <v>350</v>
      </c>
      <c r="AK50" s="572">
        <v>46171</v>
      </c>
      <c r="AN50" s="518">
        <f t="shared" si="15"/>
        <v>0</v>
      </c>
      <c r="AO50" s="519"/>
    </row>
    <row r="51" spans="1:42" ht="60" customHeight="1" thickBot="1" x14ac:dyDescent="0.45">
      <c r="A51" s="334">
        <v>48</v>
      </c>
      <c r="B51" s="353" t="s">
        <v>374</v>
      </c>
      <c r="C51" s="354" t="s">
        <v>134</v>
      </c>
      <c r="D51" s="334" t="s">
        <v>157</v>
      </c>
      <c r="E51" s="334" t="s">
        <v>154</v>
      </c>
      <c r="F51" s="485" t="s">
        <v>406</v>
      </c>
      <c r="G51" s="470" t="s">
        <v>401</v>
      </c>
      <c r="H51" s="450">
        <v>1</v>
      </c>
      <c r="I51" s="450">
        <v>1</v>
      </c>
      <c r="J51" s="393">
        <f>S51</f>
        <v>167.46</v>
      </c>
      <c r="K51" s="393">
        <f>IF(F51&lt;&gt;"",H51*I51*J51,"")</f>
        <v>167.46</v>
      </c>
      <c r="L51" s="393">
        <f>IF(K51&lt;&gt;"",IF(D51="INTERNO",0,K51*$L$14),"")</f>
        <v>12.5595</v>
      </c>
      <c r="M51" s="393">
        <f>IF(K51&lt;&gt;"",IF(E51="FAT.OGGI",SUM(K51:L51)*(1/(1-$M$14)-1),L51*(1/(1-$M$14)-1)),0)</f>
        <v>43.690578290045991</v>
      </c>
      <c r="N51" s="394">
        <f>SUM(K51:M51)</f>
        <v>223.710078290046</v>
      </c>
      <c r="Q51" s="395">
        <f>IF(H51&lt;&gt;"",H51,"")</f>
        <v>1</v>
      </c>
      <c r="R51" s="396">
        <v>0</v>
      </c>
      <c r="S51" s="397">
        <v>167.46</v>
      </c>
      <c r="T51" s="398">
        <f>IF(Q51&lt;&gt;"",Q51*R51*S51,"")</f>
        <v>0</v>
      </c>
      <c r="U51" s="399">
        <f>IF(Q51&lt;&gt;"",K51-T51,"")</f>
        <v>167.46</v>
      </c>
      <c r="V51" s="400">
        <f>IF(Q51&lt;&gt;"",0%,"")</f>
        <v>0</v>
      </c>
      <c r="W51" s="401">
        <f>IF(Q51&lt;&gt;"",V51*U51,"")</f>
        <v>0</v>
      </c>
      <c r="X51" s="401">
        <f>IF(Q51&lt;&gt;"",W51+T51,"")</f>
        <v>0</v>
      </c>
      <c r="Y51" s="402">
        <f>IF(Q51&lt;&gt;"",X51+M51,"")</f>
        <v>43.690578290045991</v>
      </c>
      <c r="Z51" s="382">
        <f>IF(Q51&lt;&gt;"", IFERROR(U51/K51, 0), 0)</f>
        <v>1</v>
      </c>
      <c r="AA51" s="383" t="str">
        <f>IFERROR(T51/#REF!, "")</f>
        <v/>
      </c>
      <c r="AC51" s="530">
        <v>2200</v>
      </c>
      <c r="AE51" s="572">
        <v>46168</v>
      </c>
      <c r="AG51" s="306" t="s">
        <v>348</v>
      </c>
      <c r="AH51" s="306" t="s">
        <v>349</v>
      </c>
      <c r="AJ51" s="306" t="s">
        <v>350</v>
      </c>
      <c r="AK51" s="572">
        <v>46171</v>
      </c>
      <c r="AN51" s="518">
        <f t="shared" si="15"/>
        <v>0</v>
      </c>
      <c r="AO51" s="519"/>
    </row>
    <row r="52" spans="1:42" ht="30" customHeight="1" thickBot="1" x14ac:dyDescent="0.5">
      <c r="A52" s="577">
        <v>49</v>
      </c>
      <c r="B52" s="353"/>
      <c r="C52" s="578" t="s">
        <v>142</v>
      </c>
      <c r="D52" s="577"/>
      <c r="E52" s="577"/>
      <c r="F52" s="665" t="s">
        <v>295</v>
      </c>
      <c r="G52" s="666"/>
      <c r="H52" s="666"/>
      <c r="I52" s="666"/>
      <c r="J52" s="666"/>
      <c r="K52" s="447">
        <f>SUM(K17:K51)</f>
        <v>94750.826000000015</v>
      </c>
      <c r="L52" s="447">
        <f>SUM(L17:L51)</f>
        <v>7106.3119500000012</v>
      </c>
      <c r="M52" s="447">
        <f>SUM(M17:M51)</f>
        <v>24720.640041798186</v>
      </c>
      <c r="N52" s="492">
        <f>SUM(N17:N51)</f>
        <v>126577.77799179817</v>
      </c>
      <c r="Q52" s="665" t="s">
        <v>295</v>
      </c>
      <c r="R52" s="666"/>
      <c r="S52" s="666"/>
      <c r="T52" s="493">
        <f>SUM(T17:T51)</f>
        <v>31514.47</v>
      </c>
      <c r="U52" s="494">
        <f>SUM(U17:U51)</f>
        <v>63236.355999999992</v>
      </c>
      <c r="V52" s="495"/>
      <c r="W52" s="495"/>
      <c r="X52" s="496">
        <f>SUM(X17:X51)</f>
        <v>31514.47</v>
      </c>
      <c r="Y52" s="579">
        <f t="shared" si="108"/>
        <v>56235.110041798187</v>
      </c>
      <c r="Z52" s="580" t="s">
        <v>213</v>
      </c>
      <c r="AA52" s="581" t="s">
        <v>214</v>
      </c>
      <c r="AN52" s="518"/>
      <c r="AO52" s="519"/>
    </row>
    <row r="53" spans="1:42" ht="30" customHeight="1" thickBot="1" x14ac:dyDescent="0.5">
      <c r="A53" s="582">
        <v>50</v>
      </c>
      <c r="B53" s="500"/>
      <c r="C53" s="583" t="s">
        <v>212</v>
      </c>
      <c r="D53" s="582"/>
      <c r="E53" s="582"/>
      <c r="F53" s="145" t="s">
        <v>296</v>
      </c>
      <c r="G53" s="146"/>
      <c r="H53" s="147"/>
      <c r="I53" s="147"/>
      <c r="J53" s="146"/>
      <c r="K53" s="148">
        <f>SUM(K17:K51)</f>
        <v>94750.826000000015</v>
      </c>
      <c r="L53" s="148">
        <f>SUM(L17:L51)</f>
        <v>7106.3119500000012</v>
      </c>
      <c r="M53" s="148">
        <f>SUM(M17:M51)</f>
        <v>24720.640041798186</v>
      </c>
      <c r="N53" s="150">
        <f>SUM(N17:N51)</f>
        <v>126577.77799179817</v>
      </c>
      <c r="Q53" s="149" t="s">
        <v>42</v>
      </c>
      <c r="R53" s="147"/>
      <c r="S53" s="146"/>
      <c r="T53" s="148">
        <f>SUM(T17:T51)</f>
        <v>31514.47</v>
      </c>
      <c r="U53" s="148">
        <f>SUM(U17:U51)</f>
        <v>63236.355999999992</v>
      </c>
      <c r="V53" s="146"/>
      <c r="W53" s="146"/>
      <c r="X53" s="148">
        <f>SUM(X17:X51)</f>
        <v>31514.47</v>
      </c>
      <c r="Y53" s="150">
        <f>SUM(Y17:Y51)</f>
        <v>56235.11004179818</v>
      </c>
      <c r="Z53" s="151">
        <f>IF(Q53&lt;&gt;"",(N53-Y53)/N53,"")</f>
        <v>0.55572683504175568</v>
      </c>
      <c r="AA53" s="152">
        <f>IF(Z53&lt;&gt;"",(N53-Y53),"")</f>
        <v>70342.667949999988</v>
      </c>
      <c r="AN53" s="518">
        <f>SUM(AN17:AN52)</f>
        <v>0</v>
      </c>
      <c r="AO53" s="519">
        <f>SUM(AO17:AO52)</f>
        <v>31514.47</v>
      </c>
    </row>
    <row r="55" spans="1:42" x14ac:dyDescent="0.4">
      <c r="T55" s="503"/>
      <c r="U55" s="503"/>
    </row>
    <row r="56" spans="1:42" x14ac:dyDescent="0.4">
      <c r="AO56" s="616"/>
      <c r="AP56" s="617" t="s">
        <v>509</v>
      </c>
    </row>
    <row r="57" spans="1:42" x14ac:dyDescent="0.4">
      <c r="AO57" s="618">
        <f>X53</f>
        <v>31514.47</v>
      </c>
      <c r="AP57" s="617" t="s">
        <v>510</v>
      </c>
    </row>
    <row r="58" spans="1:42" x14ac:dyDescent="0.4">
      <c r="AO58" s="618">
        <f>N53-X53</f>
        <v>95063.307991798167</v>
      </c>
      <c r="AP58" s="617" t="s">
        <v>447</v>
      </c>
    </row>
    <row r="59" spans="1:42" x14ac:dyDescent="0.4">
      <c r="AO59" s="619">
        <f>AO58*100%/N53</f>
        <v>0.7510268350417556</v>
      </c>
      <c r="AP59" s="620"/>
    </row>
  </sheetData>
  <mergeCells count="15">
    <mergeCell ref="F52:J52"/>
    <mergeCell ref="Q52:S52"/>
    <mergeCell ref="F15:N15"/>
    <mergeCell ref="Q15:Y15"/>
    <mergeCell ref="F16:K16"/>
    <mergeCell ref="Q16:Y16"/>
    <mergeCell ref="AN15:AO15"/>
    <mergeCell ref="AN16:AO16"/>
    <mergeCell ref="AK12:AL12"/>
    <mergeCell ref="AG12:AH12"/>
    <mergeCell ref="F1:G1"/>
    <mergeCell ref="F2:G2"/>
    <mergeCell ref="Q12:T12"/>
    <mergeCell ref="U12:X12"/>
    <mergeCell ref="AC12:AE12"/>
  </mergeCells>
  <dataValidations count="3">
    <dataValidation type="list" allowBlank="1" showInputMessage="1" showErrorMessage="1" sqref="D53 D17:D51" xr:uid="{A4E959DE-56DC-469B-8725-5679E945AAEA}">
      <formula1>"INTERNO,OPERACIONAL"</formula1>
    </dataValidation>
    <dataValidation type="list" allowBlank="1" showInputMessage="1" showErrorMessage="1" sqref="E53" xr:uid="{A155A9C2-D277-4CEA-8344-48F9B540D4A8}">
      <formula1>"FAT.OGGI,FAT.CLIENTE "</formula1>
    </dataValidation>
    <dataValidation type="list" allowBlank="1" showInputMessage="1" showErrorMessage="1" sqref="E17:E51" xr:uid="{AAE41949-9500-45BB-A71B-AE8A36D2C864}">
      <formula1>"FAT.OGGI,FAT.CLIENTE"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8B490-347D-45D2-B27F-166A8F31DFFB}">
  <sheetPr codeName="Planilha19">
    <pageSetUpPr autoPageBreaks="0"/>
  </sheetPr>
  <dimension ref="A1:AP26"/>
  <sheetViews>
    <sheetView showGridLines="0" topLeftCell="B1" zoomScale="50" zoomScaleNormal="50" workbookViewId="0">
      <pane ySplit="1" topLeftCell="A10" activePane="bottomLeft" state="frozen"/>
      <selection pane="bottomLeft" activeCell="T26" sqref="T26"/>
    </sheetView>
  </sheetViews>
  <sheetFormatPr defaultColWidth="8.88671875" defaultRowHeight="18" x14ac:dyDescent="0.35"/>
  <cols>
    <col min="1" max="1" width="5.109375" style="212" hidden="1" customWidth="1"/>
    <col min="2" max="2" width="8.88671875" style="212" customWidth="1"/>
    <col min="3" max="5" width="5.109375" style="212" hidden="1" customWidth="1"/>
    <col min="6" max="6" width="44.44140625" style="212" customWidth="1"/>
    <col min="7" max="7" width="70.5546875" style="212" customWidth="1"/>
    <col min="8" max="8" width="7.109375" style="215" hidden="1" customWidth="1"/>
    <col min="9" max="9" width="7.88671875" style="215" hidden="1" customWidth="1"/>
    <col min="10" max="10" width="25.109375" style="212" hidden="1" customWidth="1"/>
    <col min="11" max="11" width="26.88671875" style="212" bestFit="1" customWidth="1"/>
    <col min="12" max="12" width="24.88671875" style="212" customWidth="1"/>
    <col min="13" max="13" width="26.88671875" style="212" customWidth="1"/>
    <col min="14" max="14" width="26.88671875" style="212" bestFit="1" customWidth="1"/>
    <col min="15" max="15" width="3.109375" style="212" hidden="1" customWidth="1"/>
    <col min="16" max="16" width="1.88671875" style="212" hidden="1" customWidth="1"/>
    <col min="17" max="17" width="8.44140625" style="215" customWidth="1"/>
    <col min="18" max="18" width="8.44140625" style="215" hidden="1" customWidth="1"/>
    <col min="19" max="19" width="19.44140625" style="212" hidden="1" customWidth="1"/>
    <col min="20" max="20" width="26.88671875" style="212" bestFit="1" customWidth="1"/>
    <col min="21" max="21" width="24.88671875" style="212" hidden="1" customWidth="1"/>
    <col min="22" max="22" width="9.88671875" style="212" hidden="1" customWidth="1"/>
    <col min="23" max="23" width="16.109375" style="212" hidden="1" customWidth="1"/>
    <col min="24" max="24" width="27.109375" style="212" bestFit="1" customWidth="1"/>
    <col min="25" max="25" width="26.88671875" style="212" hidden="1" customWidth="1"/>
    <col min="26" max="26" width="20.88671875" style="212" hidden="1" customWidth="1"/>
    <col min="27" max="27" width="24.88671875" style="212" hidden="1" customWidth="1"/>
    <col min="28" max="28" width="38.109375" style="212" hidden="1" customWidth="1"/>
    <col min="29" max="29" width="14.109375" style="212" hidden="1" customWidth="1"/>
    <col min="30" max="30" width="7.88671875" style="212" hidden="1" customWidth="1"/>
    <col min="31" max="31" width="6.88671875" style="212" hidden="1" customWidth="1"/>
    <col min="32" max="32" width="1.109375" style="212" hidden="1" customWidth="1"/>
    <col min="33" max="33" width="14" style="212" hidden="1" customWidth="1"/>
    <col min="34" max="34" width="11.88671875" style="212" hidden="1" customWidth="1"/>
    <col min="35" max="35" width="6.109375" style="212" hidden="1" customWidth="1"/>
    <col min="36" max="36" width="12.88671875" style="212" hidden="1" customWidth="1"/>
    <col min="37" max="37" width="13.109375" style="212" hidden="1" customWidth="1"/>
    <col min="38" max="38" width="13.5546875" style="212" hidden="1" customWidth="1"/>
    <col min="39" max="39" width="0" style="212" hidden="1" customWidth="1"/>
    <col min="40" max="40" width="21.109375" style="212" customWidth="1"/>
    <col min="41" max="41" width="22.88671875" style="212" customWidth="1"/>
    <col min="42" max="16384" width="8.88671875" style="212"/>
  </cols>
  <sheetData>
    <row r="1" spans="1:41" ht="49.5" customHeight="1" x14ac:dyDescent="0.35">
      <c r="B1" s="213"/>
      <c r="C1" s="214"/>
      <c r="D1" s="214"/>
      <c r="F1" s="700" t="s">
        <v>112</v>
      </c>
      <c r="G1" s="700"/>
    </row>
    <row r="2" spans="1:41" ht="24.75" customHeight="1" x14ac:dyDescent="0.35">
      <c r="B2" s="215"/>
      <c r="D2" s="214"/>
      <c r="F2" s="701" t="s">
        <v>0</v>
      </c>
      <c r="G2" s="701"/>
    </row>
    <row r="3" spans="1:41" x14ac:dyDescent="0.35">
      <c r="B3" s="217"/>
      <c r="F3" s="28"/>
      <c r="G3" s="28"/>
    </row>
    <row r="4" spans="1:41" x14ac:dyDescent="0.35">
      <c r="F4" s="35" t="s">
        <v>121</v>
      </c>
      <c r="G4" s="46" t="s">
        <v>123</v>
      </c>
    </row>
    <row r="5" spans="1:41" x14ac:dyDescent="0.35">
      <c r="F5" s="36" t="s">
        <v>120</v>
      </c>
      <c r="G5" s="47" t="s">
        <v>122</v>
      </c>
    </row>
    <row r="6" spans="1:41" x14ac:dyDescent="0.35">
      <c r="D6" s="212" t="s">
        <v>99</v>
      </c>
      <c r="F6" s="36" t="s">
        <v>119</v>
      </c>
      <c r="G6" s="48" t="s">
        <v>124</v>
      </c>
    </row>
    <row r="7" spans="1:41" ht="21.75" customHeight="1" x14ac:dyDescent="0.35">
      <c r="F7" s="36" t="s">
        <v>118</v>
      </c>
      <c r="G7" s="48" t="s">
        <v>125</v>
      </c>
      <c r="J7" s="212" t="s">
        <v>111</v>
      </c>
    </row>
    <row r="8" spans="1:41" x14ac:dyDescent="0.35">
      <c r="F8" s="36" t="s">
        <v>114</v>
      </c>
      <c r="G8" s="63" t="s">
        <v>147</v>
      </c>
    </row>
    <row r="9" spans="1:41" x14ac:dyDescent="0.35">
      <c r="F9" s="36" t="s">
        <v>115</v>
      </c>
      <c r="G9" s="48" t="s">
        <v>113</v>
      </c>
      <c r="J9" s="212" t="s">
        <v>99</v>
      </c>
    </row>
    <row r="10" spans="1:41" ht="27" customHeight="1" x14ac:dyDescent="0.35">
      <c r="F10" s="36" t="s">
        <v>116</v>
      </c>
      <c r="G10" s="48" t="s">
        <v>126</v>
      </c>
    </row>
    <row r="11" spans="1:41" x14ac:dyDescent="0.35">
      <c r="F11" s="37" t="s">
        <v>117</v>
      </c>
      <c r="G11" s="49" t="s">
        <v>127</v>
      </c>
    </row>
    <row r="12" spans="1:41" ht="54.6" hidden="1" thickBot="1" x14ac:dyDescent="0.4">
      <c r="B12" s="218"/>
      <c r="M12" s="219"/>
      <c r="Q12" s="702" t="s">
        <v>1</v>
      </c>
      <c r="R12" s="703"/>
      <c r="S12" s="703"/>
      <c r="T12" s="704"/>
      <c r="U12" s="715" t="s">
        <v>2</v>
      </c>
      <c r="V12" s="716"/>
      <c r="W12" s="716"/>
      <c r="X12" s="717"/>
      <c r="Y12" s="220" t="s">
        <v>48</v>
      </c>
      <c r="Z12" s="221">
        <f>(1/(1-M14))-1</f>
        <v>0.24269914253759173</v>
      </c>
      <c r="AC12" s="718" t="s">
        <v>3</v>
      </c>
      <c r="AD12" s="719"/>
      <c r="AE12" s="720"/>
      <c r="AG12" s="721" t="s">
        <v>50</v>
      </c>
      <c r="AH12" s="722"/>
      <c r="AJ12" s="222" t="s">
        <v>52</v>
      </c>
      <c r="AK12" s="705" t="s">
        <v>51</v>
      </c>
      <c r="AL12" s="706"/>
    </row>
    <row r="13" spans="1:41" ht="18.600000000000001" thickBot="1" x14ac:dyDescent="0.4">
      <c r="A13" s="223" t="s">
        <v>4</v>
      </c>
      <c r="B13" s="224" t="s">
        <v>5</v>
      </c>
      <c r="C13" s="223" t="s">
        <v>6</v>
      </c>
      <c r="D13" s="223" t="s">
        <v>7</v>
      </c>
      <c r="E13" s="223" t="s">
        <v>8</v>
      </c>
      <c r="M13" s="225">
        <v>0.80469999999999997</v>
      </c>
    </row>
    <row r="14" spans="1:41" ht="54.6" thickBot="1" x14ac:dyDescent="0.4">
      <c r="A14" s="226">
        <v>0</v>
      </c>
      <c r="B14" s="227"/>
      <c r="C14" s="228"/>
      <c r="D14" s="229"/>
      <c r="E14" s="229"/>
      <c r="F14" s="230" t="s">
        <v>76</v>
      </c>
      <c r="G14" s="531" t="s">
        <v>77</v>
      </c>
      <c r="H14" s="231" t="s">
        <v>78</v>
      </c>
      <c r="I14" s="231" t="s">
        <v>79</v>
      </c>
      <c r="J14" s="232" t="s">
        <v>80</v>
      </c>
      <c r="K14" s="233" t="s">
        <v>9</v>
      </c>
      <c r="L14" s="234">
        <v>7.4999999999999997E-2</v>
      </c>
      <c r="M14" s="235">
        <f>1-M13</f>
        <v>0.19530000000000003</v>
      </c>
      <c r="N14" s="236" t="s">
        <v>74</v>
      </c>
      <c r="Q14" s="237" t="s">
        <v>81</v>
      </c>
      <c r="R14" s="238" t="s">
        <v>82</v>
      </c>
      <c r="S14" s="239" t="s">
        <v>83</v>
      </c>
      <c r="T14" s="240" t="s">
        <v>84</v>
      </c>
      <c r="U14" s="241" t="s">
        <v>85</v>
      </c>
      <c r="V14" s="242" t="s">
        <v>86</v>
      </c>
      <c r="W14" s="243" t="s">
        <v>87</v>
      </c>
      <c r="X14" s="243" t="s">
        <v>88</v>
      </c>
      <c r="Y14" s="244" t="s">
        <v>89</v>
      </c>
      <c r="Z14" s="245" t="s">
        <v>90</v>
      </c>
      <c r="AA14" s="246" t="s">
        <v>75</v>
      </c>
      <c r="AC14" s="254" t="s">
        <v>91</v>
      </c>
      <c r="AD14" s="255" t="s">
        <v>92</v>
      </c>
      <c r="AE14" s="255" t="s">
        <v>32</v>
      </c>
      <c r="AG14" s="256" t="s">
        <v>93</v>
      </c>
      <c r="AH14" s="257" t="s">
        <v>94</v>
      </c>
      <c r="AK14" s="258" t="s">
        <v>95</v>
      </c>
      <c r="AL14" s="259" t="s">
        <v>96</v>
      </c>
      <c r="AN14" s="365" t="s">
        <v>95</v>
      </c>
      <c r="AO14" s="366" t="s">
        <v>96</v>
      </c>
    </row>
    <row r="15" spans="1:41" ht="30" customHeight="1" thickBot="1" x14ac:dyDescent="0.5">
      <c r="A15" s="229">
        <v>1</v>
      </c>
      <c r="B15" s="247">
        <v>1</v>
      </c>
      <c r="C15" s="248" t="s">
        <v>128</v>
      </c>
      <c r="D15" s="229"/>
      <c r="E15" s="229"/>
      <c r="F15" s="707" t="s">
        <v>233</v>
      </c>
      <c r="G15" s="708"/>
      <c r="H15" s="708"/>
      <c r="I15" s="708"/>
      <c r="J15" s="708"/>
      <c r="K15" s="708"/>
      <c r="L15" s="708"/>
      <c r="M15" s="708"/>
      <c r="N15" s="709"/>
      <c r="Q15" s="710" t="str">
        <f>IF(F15&lt;&gt;"",F15,"")</f>
        <v>Opcionais</v>
      </c>
      <c r="R15" s="711"/>
      <c r="S15" s="711"/>
      <c r="T15" s="711"/>
      <c r="U15" s="711"/>
      <c r="V15" s="711"/>
      <c r="W15" s="711"/>
      <c r="X15" s="711"/>
      <c r="Y15" s="723"/>
      <c r="AN15" s="629"/>
      <c r="AO15" s="630"/>
    </row>
    <row r="16" spans="1:41" ht="30" customHeight="1" x14ac:dyDescent="0.45">
      <c r="A16" s="229">
        <v>2</v>
      </c>
      <c r="B16" s="247" t="s">
        <v>130</v>
      </c>
      <c r="C16" s="248" t="s">
        <v>129</v>
      </c>
      <c r="D16" s="229"/>
      <c r="E16" s="229"/>
      <c r="F16" s="683" t="s">
        <v>233</v>
      </c>
      <c r="G16" s="684"/>
      <c r="H16" s="684"/>
      <c r="I16" s="684"/>
      <c r="J16" s="684"/>
      <c r="K16" s="713"/>
      <c r="L16" s="249" t="s">
        <v>131</v>
      </c>
      <c r="M16" s="250" t="s">
        <v>132</v>
      </c>
      <c r="N16" s="504" t="s">
        <v>74</v>
      </c>
      <c r="Q16" s="683" t="str">
        <f>IF(F16&lt;&gt;"",F16,"")</f>
        <v>Opcionais</v>
      </c>
      <c r="R16" s="684"/>
      <c r="S16" s="684"/>
      <c r="T16" s="684"/>
      <c r="U16" s="684"/>
      <c r="V16" s="684"/>
      <c r="W16" s="684"/>
      <c r="X16" s="684"/>
      <c r="Y16" s="714"/>
      <c r="Z16" s="252" t="s">
        <v>133</v>
      </c>
      <c r="AA16" s="253" t="s">
        <v>75</v>
      </c>
      <c r="AN16" s="631"/>
      <c r="AO16" s="632"/>
    </row>
    <row r="17" spans="1:42" ht="69.900000000000006" customHeight="1" x14ac:dyDescent="0.4">
      <c r="A17" s="229">
        <v>3</v>
      </c>
      <c r="B17" s="247" t="s">
        <v>135</v>
      </c>
      <c r="C17" s="248" t="s">
        <v>134</v>
      </c>
      <c r="D17" s="229" t="s">
        <v>157</v>
      </c>
      <c r="E17" s="229" t="s">
        <v>154</v>
      </c>
      <c r="F17" s="291" t="s">
        <v>339</v>
      </c>
      <c r="G17" s="292" t="s">
        <v>341</v>
      </c>
      <c r="H17" s="289">
        <v>1</v>
      </c>
      <c r="I17" s="289">
        <v>2</v>
      </c>
      <c r="J17" s="274">
        <v>1200</v>
      </c>
      <c r="K17" s="274">
        <f t="shared" ref="K17" si="0">IF(F17&lt;&gt;"",H17*I17*J17,"")</f>
        <v>2400</v>
      </c>
      <c r="L17" s="274">
        <f t="shared" ref="L17" si="1">IF(K17&lt;&gt;"",IF(D17="INTERNO",0,K17*$L$14),"")</f>
        <v>180</v>
      </c>
      <c r="M17" s="274">
        <f t="shared" ref="M17" si="2">IF(K17&lt;&gt;"",IF(E17="FAT.OGGI",SUM(K17:L17)*(1/(1-$M$14)-1),L17*(1/(1-$M$14)-1)),0)</f>
        <v>626.16378774698671</v>
      </c>
      <c r="N17" s="275">
        <f t="shared" ref="N17" si="3">SUM(K17:M17)</f>
        <v>3206.1637877469866</v>
      </c>
      <c r="Q17" s="276">
        <v>1</v>
      </c>
      <c r="R17" s="277">
        <v>2</v>
      </c>
      <c r="S17" s="278">
        <v>850</v>
      </c>
      <c r="T17" s="278">
        <v>0</v>
      </c>
      <c r="U17" s="279">
        <f t="shared" ref="U17" si="4">IF(Q17&lt;&gt;"",K17-T17,"")</f>
        <v>2400</v>
      </c>
      <c r="V17" s="280">
        <f t="shared" ref="V17" si="5">IF(Q17&lt;&gt;"",0%,"")</f>
        <v>0</v>
      </c>
      <c r="W17" s="281">
        <f t="shared" ref="W17" si="6">IF(Q17&lt;&gt;"",V17*U17,"")</f>
        <v>0</v>
      </c>
      <c r="X17" s="281">
        <f t="shared" ref="X17" si="7">IF(Q17&lt;&gt;"",W17+T17,"")</f>
        <v>0</v>
      </c>
      <c r="Y17" s="282">
        <f t="shared" ref="Y17" si="8">IF(Q17&lt;&gt;"",X17+M17,"")</f>
        <v>626.16378774698671</v>
      </c>
      <c r="Z17" s="270">
        <f t="shared" ref="Z17" si="9">IF(Q17&lt;&gt;"", IFERROR(U17/K17, 0), 0)</f>
        <v>1</v>
      </c>
      <c r="AA17" s="271" t="str">
        <f>IFERROR(T17/$T$19, "")</f>
        <v/>
      </c>
      <c r="AN17" s="518">
        <f>X17-AO17</f>
        <v>0</v>
      </c>
      <c r="AO17" s="519"/>
    </row>
    <row r="18" spans="1:42" ht="69.900000000000006" customHeight="1" thickBot="1" x14ac:dyDescent="0.45">
      <c r="A18" s="229">
        <v>3</v>
      </c>
      <c r="B18" s="247" t="s">
        <v>135</v>
      </c>
      <c r="C18" s="248" t="s">
        <v>134</v>
      </c>
      <c r="D18" s="229" t="s">
        <v>157</v>
      </c>
      <c r="E18" s="229" t="s">
        <v>154</v>
      </c>
      <c r="F18" s="291" t="s">
        <v>339</v>
      </c>
      <c r="G18" s="505" t="s">
        <v>384</v>
      </c>
      <c r="H18" s="289">
        <v>1</v>
      </c>
      <c r="I18" s="289">
        <v>1</v>
      </c>
      <c r="J18" s="274">
        <v>480</v>
      </c>
      <c r="K18" s="274">
        <f t="shared" ref="K18" si="10">IF(F18&lt;&gt;"",H18*I18*J18,"")</f>
        <v>480</v>
      </c>
      <c r="L18" s="274">
        <f t="shared" ref="L18" si="11">IF(K18&lt;&gt;"",IF(D18="INTERNO",0,K18*$L$14),"")</f>
        <v>36</v>
      </c>
      <c r="M18" s="274">
        <f t="shared" ref="M18" si="12">IF(K18&lt;&gt;"",IF(E18="FAT.OGGI",SUM(K18:L18)*(1/(1-$M$14)-1),L18*(1/(1-$M$14)-1)),0)</f>
        <v>125.23275754939733</v>
      </c>
      <c r="N18" s="275">
        <f t="shared" ref="N18" si="13">SUM(K18:M18)</f>
        <v>641.23275754939732</v>
      </c>
      <c r="Q18" s="276">
        <v>1</v>
      </c>
      <c r="R18" s="277">
        <v>1</v>
      </c>
      <c r="S18" s="545">
        <v>480</v>
      </c>
      <c r="T18" s="278">
        <v>0</v>
      </c>
      <c r="U18" s="279">
        <f t="shared" ref="U18" si="14">IF(Q18&lt;&gt;"",K18-T18,"")</f>
        <v>480</v>
      </c>
      <c r="V18" s="280">
        <f t="shared" ref="V18" si="15">IF(Q18&lt;&gt;"",0%,"")</f>
        <v>0</v>
      </c>
      <c r="W18" s="281">
        <f t="shared" ref="W18" si="16">IF(Q18&lt;&gt;"",V18*U18,"")</f>
        <v>0</v>
      </c>
      <c r="X18" s="281">
        <f t="shared" ref="X18" si="17">IF(Q18&lt;&gt;"",W18+T18,"")</f>
        <v>0</v>
      </c>
      <c r="Y18" s="282">
        <f t="shared" ref="Y18" si="18">IF(Q18&lt;&gt;"",X18+M18,"")</f>
        <v>125.23275754939733</v>
      </c>
      <c r="Z18" s="270">
        <f t="shared" ref="Z18" si="19">IF(Q18&lt;&gt;"", IFERROR(U18/K18, 0), 0)</f>
        <v>1</v>
      </c>
      <c r="AA18" s="271" t="str">
        <f>IFERROR(T18/$T$19, "")</f>
        <v/>
      </c>
      <c r="AN18" s="518">
        <f>X18-AO18</f>
        <v>0</v>
      </c>
      <c r="AO18" s="519"/>
    </row>
    <row r="19" spans="1:42" ht="30" customHeight="1" thickBot="1" x14ac:dyDescent="0.45">
      <c r="A19" s="546">
        <v>4</v>
      </c>
      <c r="B19" s="247"/>
      <c r="C19" s="547" t="s">
        <v>142</v>
      </c>
      <c r="D19" s="546"/>
      <c r="E19" s="546"/>
      <c r="F19" s="698" t="s">
        <v>295</v>
      </c>
      <c r="G19" s="699"/>
      <c r="H19" s="699"/>
      <c r="I19" s="699"/>
      <c r="J19" s="699"/>
      <c r="K19" s="100">
        <f>SUM(K17:K17)</f>
        <v>2400</v>
      </c>
      <c r="L19" s="100">
        <f>SUM(L17:L17)</f>
        <v>180</v>
      </c>
      <c r="M19" s="100">
        <f>SUM(M17:M17)</f>
        <v>626.16378774698671</v>
      </c>
      <c r="N19" s="93">
        <f>SUM(N17:N17)</f>
        <v>3206.1637877469866</v>
      </c>
      <c r="Q19" s="698" t="s">
        <v>295</v>
      </c>
      <c r="R19" s="699"/>
      <c r="S19" s="699"/>
      <c r="T19" s="101">
        <f>SUM(T17:T17)</f>
        <v>0</v>
      </c>
      <c r="U19" s="102">
        <f>SUM(U17:U17)</f>
        <v>2400</v>
      </c>
      <c r="V19" s="297"/>
      <c r="W19" s="297"/>
      <c r="X19" s="103">
        <f>SUM(X17:X17)</f>
        <v>0</v>
      </c>
      <c r="Y19" s="144">
        <f>IF(Q19&lt;&gt;"",X19+M19,"")</f>
        <v>626.16378774698671</v>
      </c>
      <c r="Z19" s="548" t="s">
        <v>213</v>
      </c>
      <c r="AA19" s="549" t="s">
        <v>214</v>
      </c>
      <c r="AN19" s="518"/>
      <c r="AO19" s="519"/>
    </row>
    <row r="20" spans="1:42" ht="30" customHeight="1" thickBot="1" x14ac:dyDescent="0.45">
      <c r="A20" s="550">
        <v>5</v>
      </c>
      <c r="B20" s="299"/>
      <c r="C20" s="551" t="s">
        <v>212</v>
      </c>
      <c r="D20" s="550"/>
      <c r="E20" s="550"/>
      <c r="F20" s="552" t="s">
        <v>296</v>
      </c>
      <c r="G20" s="553"/>
      <c r="H20" s="554"/>
      <c r="I20" s="554"/>
      <c r="J20" s="553"/>
      <c r="K20" s="555">
        <f>SUM(K17:K17)</f>
        <v>2400</v>
      </c>
      <c r="L20" s="555">
        <f>SUM(L17:L17)</f>
        <v>180</v>
      </c>
      <c r="M20" s="555">
        <f>SUM(M17:M17)</f>
        <v>626.16378774698671</v>
      </c>
      <c r="N20" s="556">
        <f>SUM(N17:N17)</f>
        <v>3206.1637877469866</v>
      </c>
      <c r="Q20" s="557" t="s">
        <v>42</v>
      </c>
      <c r="R20" s="554"/>
      <c r="S20" s="553"/>
      <c r="T20" s="555">
        <f>SUM(T17:T17)</f>
        <v>0</v>
      </c>
      <c r="U20" s="555">
        <f>SUM(U17:U17)</f>
        <v>2400</v>
      </c>
      <c r="V20" s="553"/>
      <c r="W20" s="553"/>
      <c r="X20" s="555">
        <f>SUM(X17:X17)</f>
        <v>0</v>
      </c>
      <c r="Y20" s="556">
        <f>SUM(Y17:Y17)</f>
        <v>626.16378774698671</v>
      </c>
      <c r="Z20" s="558">
        <f>IF(Q20&lt;&gt;"",(N20-Y20)/N20,"")</f>
        <v>0.80469999999999997</v>
      </c>
      <c r="AA20" s="559">
        <f>IF(Z20&lt;&gt;"",(N20-Y20),"")</f>
        <v>2580</v>
      </c>
      <c r="AN20" s="518">
        <f>SUM(AN17:AN19)</f>
        <v>0</v>
      </c>
      <c r="AO20" s="519">
        <f>SUM(AO17:AO19)</f>
        <v>0</v>
      </c>
    </row>
    <row r="23" spans="1:42" x14ac:dyDescent="0.35">
      <c r="AO23" s="616"/>
      <c r="AP23" s="617" t="s">
        <v>509</v>
      </c>
    </row>
    <row r="24" spans="1:42" x14ac:dyDescent="0.35">
      <c r="AO24" s="618">
        <f>X20</f>
        <v>0</v>
      </c>
      <c r="AP24" s="617" t="s">
        <v>510</v>
      </c>
    </row>
    <row r="25" spans="1:42" x14ac:dyDescent="0.35">
      <c r="AO25" s="618">
        <f>N20-X20</f>
        <v>3206.1637877469866</v>
      </c>
      <c r="AP25" s="617" t="s">
        <v>447</v>
      </c>
    </row>
    <row r="26" spans="1:42" x14ac:dyDescent="0.35">
      <c r="AO26" s="619">
        <f>AO25*100%/N20</f>
        <v>1</v>
      </c>
      <c r="AP26" s="620"/>
    </row>
  </sheetData>
  <mergeCells count="15">
    <mergeCell ref="AN15:AO15"/>
    <mergeCell ref="AN16:AO16"/>
    <mergeCell ref="F19:J19"/>
    <mergeCell ref="Q19:S19"/>
    <mergeCell ref="F1:G1"/>
    <mergeCell ref="F2:G2"/>
    <mergeCell ref="Q12:T12"/>
    <mergeCell ref="AK12:AL12"/>
    <mergeCell ref="F15:N15"/>
    <mergeCell ref="Q15:Y15"/>
    <mergeCell ref="F16:K16"/>
    <mergeCell ref="Q16:Y16"/>
    <mergeCell ref="U12:X12"/>
    <mergeCell ref="AC12:AE12"/>
    <mergeCell ref="AG12:AH12"/>
  </mergeCells>
  <dataValidations count="3">
    <dataValidation type="list" allowBlank="1" showInputMessage="1" showErrorMessage="1" sqref="E17:E18" xr:uid="{FB7CBB80-9379-4CB2-8CD3-646D390F774C}">
      <formula1>"FAT.OGGI,FAT.CLIENTE"</formula1>
    </dataValidation>
    <dataValidation type="list" allowBlank="1" showInputMessage="1" showErrorMessage="1" sqref="D20 D17:D18" xr:uid="{F2BA5FA9-2D28-4436-BD65-022A1D41A89B}">
      <formula1>"INTERNO,OPERACIONAL"</formula1>
    </dataValidation>
    <dataValidation type="list" allowBlank="1" showInputMessage="1" showErrorMessage="1" sqref="E20" xr:uid="{C0DB91A6-8DCD-43C5-A754-10A44F240046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6D5B0-5AE1-4B83-8ED3-7EF379E626BD}">
  <dimension ref="F3:G34"/>
  <sheetViews>
    <sheetView topLeftCell="A19" workbookViewId="0">
      <selection activeCell="F31" sqref="F31"/>
    </sheetView>
  </sheetViews>
  <sheetFormatPr defaultRowHeight="14.4" x14ac:dyDescent="0.3"/>
  <cols>
    <col min="6" max="6" width="20.109375" bestFit="1" customWidth="1"/>
    <col min="7" max="7" width="13.33203125" bestFit="1" customWidth="1"/>
  </cols>
  <sheetData>
    <row r="3" spans="6:7" x14ac:dyDescent="0.3">
      <c r="F3" s="614" t="s">
        <v>454</v>
      </c>
      <c r="G3" s="613" t="s">
        <v>9</v>
      </c>
    </row>
    <row r="4" spans="6:7" x14ac:dyDescent="0.3">
      <c r="F4" s="611" t="s">
        <v>463</v>
      </c>
      <c r="G4" s="612">
        <v>811.08</v>
      </c>
    </row>
    <row r="5" spans="6:7" x14ac:dyDescent="0.3">
      <c r="F5" s="611" t="s">
        <v>457</v>
      </c>
      <c r="G5" s="612">
        <v>5000</v>
      </c>
    </row>
    <row r="6" spans="6:7" x14ac:dyDescent="0.3">
      <c r="F6" s="611" t="s">
        <v>457</v>
      </c>
      <c r="G6" s="612">
        <v>5000</v>
      </c>
    </row>
    <row r="7" spans="6:7" x14ac:dyDescent="0.3">
      <c r="F7" s="611" t="s">
        <v>457</v>
      </c>
      <c r="G7" s="612">
        <v>5000</v>
      </c>
    </row>
    <row r="8" spans="6:7" x14ac:dyDescent="0.3">
      <c r="F8" s="611" t="s">
        <v>457</v>
      </c>
      <c r="G8" s="612">
        <v>14.56</v>
      </c>
    </row>
    <row r="9" spans="6:7" x14ac:dyDescent="0.3">
      <c r="F9" s="611" t="s">
        <v>459</v>
      </c>
      <c r="G9" s="612">
        <v>1281.6300000000001</v>
      </c>
    </row>
    <row r="10" spans="6:7" x14ac:dyDescent="0.3">
      <c r="F10" s="611" t="s">
        <v>458</v>
      </c>
      <c r="G10" s="612">
        <v>1711.23</v>
      </c>
    </row>
    <row r="11" spans="6:7" x14ac:dyDescent="0.3">
      <c r="F11" s="611" t="s">
        <v>462</v>
      </c>
      <c r="G11" s="612">
        <v>1068.42</v>
      </c>
    </row>
    <row r="12" spans="6:7" x14ac:dyDescent="0.3">
      <c r="F12" s="611" t="s">
        <v>461</v>
      </c>
      <c r="G12" s="612">
        <v>531.09</v>
      </c>
    </row>
    <row r="13" spans="6:7" x14ac:dyDescent="0.3">
      <c r="F13" s="611" t="s">
        <v>456</v>
      </c>
      <c r="G13" s="612">
        <v>149.72999999999999</v>
      </c>
    </row>
    <row r="14" spans="6:7" x14ac:dyDescent="0.3">
      <c r="F14" s="611" t="s">
        <v>456</v>
      </c>
      <c r="G14" s="612">
        <v>2617.8200000000002</v>
      </c>
    </row>
    <row r="15" spans="6:7" x14ac:dyDescent="0.3">
      <c r="F15" s="611" t="s">
        <v>460</v>
      </c>
      <c r="G15" s="612">
        <v>17.940000000000001</v>
      </c>
    </row>
    <row r="16" spans="6:7" x14ac:dyDescent="0.3">
      <c r="F16" s="611" t="s">
        <v>455</v>
      </c>
      <c r="G16" s="612">
        <v>6573.58</v>
      </c>
    </row>
    <row r="17" spans="6:7" x14ac:dyDescent="0.3">
      <c r="F17" s="611" t="s">
        <v>464</v>
      </c>
      <c r="G17" s="612">
        <v>2588</v>
      </c>
    </row>
    <row r="18" spans="6:7" x14ac:dyDescent="0.3">
      <c r="F18" s="611" t="s">
        <v>465</v>
      </c>
      <c r="G18" s="612">
        <v>680.1</v>
      </c>
    </row>
    <row r="19" spans="6:7" x14ac:dyDescent="0.3">
      <c r="F19" s="611" t="s">
        <v>481</v>
      </c>
      <c r="G19" s="612">
        <v>234</v>
      </c>
    </row>
    <row r="20" spans="6:7" x14ac:dyDescent="0.3">
      <c r="F20" s="611" t="s">
        <v>481</v>
      </c>
      <c r="G20" s="612">
        <v>100</v>
      </c>
    </row>
    <row r="21" spans="6:7" x14ac:dyDescent="0.3">
      <c r="F21" s="611" t="s">
        <v>481</v>
      </c>
      <c r="G21" s="612">
        <v>382</v>
      </c>
    </row>
    <row r="22" spans="6:7" x14ac:dyDescent="0.3">
      <c r="F22" s="611" t="s">
        <v>481</v>
      </c>
      <c r="G22" s="612">
        <v>327.5</v>
      </c>
    </row>
    <row r="23" spans="6:7" x14ac:dyDescent="0.3">
      <c r="F23" s="611" t="s">
        <v>507</v>
      </c>
      <c r="G23" s="612">
        <v>1265.5899999999999</v>
      </c>
    </row>
    <row r="24" spans="6:7" x14ac:dyDescent="0.3">
      <c r="F24" s="611" t="s">
        <v>455</v>
      </c>
      <c r="G24" s="612">
        <v>498</v>
      </c>
    </row>
    <row r="25" spans="6:7" x14ac:dyDescent="0.3">
      <c r="F25" s="611" t="s">
        <v>486</v>
      </c>
      <c r="G25" s="612">
        <v>1911.87</v>
      </c>
    </row>
    <row r="26" spans="6:7" x14ac:dyDescent="0.3">
      <c r="F26" s="611" t="s">
        <v>486</v>
      </c>
      <c r="G26" s="612">
        <v>3773</v>
      </c>
    </row>
    <row r="27" spans="6:7" x14ac:dyDescent="0.3">
      <c r="F27" s="611" t="s">
        <v>490</v>
      </c>
      <c r="G27" s="612">
        <v>850</v>
      </c>
    </row>
    <row r="28" spans="6:7" x14ac:dyDescent="0.3">
      <c r="F28" s="611" t="s">
        <v>508</v>
      </c>
      <c r="G28" s="612">
        <v>264.12</v>
      </c>
    </row>
    <row r="29" spans="6:7" x14ac:dyDescent="0.3">
      <c r="F29" s="611" t="s">
        <v>465</v>
      </c>
      <c r="G29" s="612">
        <v>1524</v>
      </c>
    </row>
    <row r="30" spans="6:7" x14ac:dyDescent="0.3">
      <c r="F30" s="611" t="s">
        <v>455</v>
      </c>
      <c r="G30" s="612">
        <v>5595.64</v>
      </c>
    </row>
    <row r="31" spans="6:7" x14ac:dyDescent="0.3">
      <c r="F31" s="611"/>
      <c r="G31" s="612"/>
    </row>
    <row r="32" spans="6:7" x14ac:dyDescent="0.3">
      <c r="F32" s="611"/>
      <c r="G32" s="612"/>
    </row>
    <row r="33" spans="6:7" x14ac:dyDescent="0.3">
      <c r="F33" s="611" t="s">
        <v>498</v>
      </c>
      <c r="G33" s="612"/>
    </row>
    <row r="34" spans="6:7" x14ac:dyDescent="0.3">
      <c r="G34" s="613">
        <f>SUM(G4:G33)</f>
        <v>49770.899999999994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DDA30-C88F-48D9-BA63-5C7BFB9A4EE7}">
  <sheetPr codeName="Planilha1">
    <tabColor theme="0"/>
    <pageSetUpPr autoPageBreaks="0"/>
  </sheetPr>
  <dimension ref="A1:H32"/>
  <sheetViews>
    <sheetView showGridLines="0" zoomScale="80" zoomScaleNormal="80" workbookViewId="0">
      <pane ySplit="1" topLeftCell="A22" activePane="bottomLeft" state="frozen"/>
      <selection activeCell="G77" sqref="G77"/>
      <selection pane="bottomLeft" activeCell="G32" sqref="G32"/>
    </sheetView>
  </sheetViews>
  <sheetFormatPr defaultRowHeight="14.4" x14ac:dyDescent="0.3"/>
  <cols>
    <col min="1" max="1" width="51.88671875" bestFit="1" customWidth="1"/>
    <col min="2" max="2" width="22.88671875" customWidth="1"/>
    <col min="3" max="3" width="22.88671875" style="107" customWidth="1"/>
    <col min="4" max="4" width="15.109375" customWidth="1"/>
    <col min="5" max="5" width="10.6640625" customWidth="1"/>
    <col min="6" max="6" width="2.88671875" customWidth="1"/>
    <col min="7" max="7" width="54.88671875" customWidth="1"/>
    <col min="8" max="8" width="51.109375" customWidth="1"/>
    <col min="9" max="10" width="8.88671875" customWidth="1"/>
    <col min="11" max="11" width="14.109375" customWidth="1"/>
    <col min="12" max="12" width="8.88671875" customWidth="1"/>
  </cols>
  <sheetData>
    <row r="1" spans="1:7" ht="49.5" customHeight="1" x14ac:dyDescent="0.3">
      <c r="A1" s="728" t="s">
        <v>112</v>
      </c>
      <c r="B1" s="728"/>
    </row>
    <row r="2" spans="1:7" ht="24.75" customHeight="1" x14ac:dyDescent="0.3">
      <c r="A2" s="673" t="s">
        <v>0</v>
      </c>
      <c r="B2" s="673"/>
    </row>
    <row r="3" spans="1:7" ht="18" x14ac:dyDescent="0.3">
      <c r="A3" s="28"/>
      <c r="B3" s="28"/>
    </row>
    <row r="4" spans="1:7" ht="18" x14ac:dyDescent="0.3">
      <c r="A4" s="129" t="s">
        <v>121</v>
      </c>
      <c r="B4" s="729" t="s">
        <v>123</v>
      </c>
      <c r="C4" s="729"/>
    </row>
    <row r="5" spans="1:7" ht="18" x14ac:dyDescent="0.3">
      <c r="A5" s="129" t="s">
        <v>120</v>
      </c>
      <c r="B5" s="729" t="s">
        <v>122</v>
      </c>
      <c r="C5" s="729"/>
    </row>
    <row r="6" spans="1:7" ht="18" x14ac:dyDescent="0.3">
      <c r="A6" s="129" t="s">
        <v>119</v>
      </c>
      <c r="B6" s="730" t="s">
        <v>124</v>
      </c>
      <c r="C6" s="730"/>
    </row>
    <row r="7" spans="1:7" ht="21.75" customHeight="1" x14ac:dyDescent="0.3">
      <c r="A7" s="129" t="s">
        <v>118</v>
      </c>
      <c r="B7" s="730" t="s">
        <v>125</v>
      </c>
      <c r="C7" s="730"/>
    </row>
    <row r="8" spans="1:7" ht="18" x14ac:dyDescent="0.3">
      <c r="A8" s="129" t="s">
        <v>114</v>
      </c>
      <c r="B8" s="731" t="s">
        <v>249</v>
      </c>
      <c r="C8" s="731"/>
    </row>
    <row r="9" spans="1:7" ht="18" x14ac:dyDescent="0.3">
      <c r="A9" s="129" t="s">
        <v>115</v>
      </c>
      <c r="B9" s="730" t="s">
        <v>113</v>
      </c>
      <c r="C9" s="730"/>
    </row>
    <row r="10" spans="1:7" ht="18" x14ac:dyDescent="0.3">
      <c r="A10" s="129" t="s">
        <v>116</v>
      </c>
      <c r="B10" s="730" t="s">
        <v>126</v>
      </c>
      <c r="C10" s="730"/>
    </row>
    <row r="11" spans="1:7" ht="18" x14ac:dyDescent="0.3">
      <c r="A11" s="129" t="s">
        <v>117</v>
      </c>
      <c r="B11" s="730" t="s">
        <v>127</v>
      </c>
      <c r="C11" s="730"/>
    </row>
    <row r="14" spans="1:7" ht="15" customHeight="1" x14ac:dyDescent="0.3"/>
    <row r="15" spans="1:7" s="114" customFormat="1" ht="18" customHeight="1" x14ac:dyDescent="0.3">
      <c r="A15" s="113"/>
      <c r="B15" s="113"/>
      <c r="C15" s="113"/>
      <c r="D15" s="727"/>
      <c r="E15" s="727"/>
      <c r="F15" s="727"/>
    </row>
    <row r="16" spans="1:7" ht="24" customHeight="1" thickBot="1" x14ac:dyDescent="0.35">
      <c r="A16" s="724" t="s">
        <v>424</v>
      </c>
      <c r="B16" s="725"/>
      <c r="C16" s="726"/>
      <c r="G16" s="38"/>
    </row>
    <row r="17" spans="1:8" ht="21.75" customHeight="1" x14ac:dyDescent="0.3">
      <c r="A17" s="108" t="s">
        <v>431</v>
      </c>
      <c r="B17" s="109" t="e">
        <f>#REF!</f>
        <v>#REF!</v>
      </c>
      <c r="C17" s="110">
        <v>0</v>
      </c>
      <c r="D17" s="115"/>
      <c r="E17" s="128" t="e">
        <f t="shared" ref="E17" si="0">(D17/B17)*100%</f>
        <v>#REF!</v>
      </c>
      <c r="F17" s="107"/>
    </row>
    <row r="18" spans="1:8" ht="21.75" customHeight="1" x14ac:dyDescent="0.3">
      <c r="A18" s="125" t="s">
        <v>234</v>
      </c>
      <c r="B18" s="126" t="e">
        <f>SUM(B17)</f>
        <v>#REF!</v>
      </c>
      <c r="C18" s="127">
        <f>SUM(C11:C17)</f>
        <v>0</v>
      </c>
      <c r="D18" s="115"/>
      <c r="E18" s="128"/>
      <c r="F18" s="107"/>
    </row>
    <row r="19" spans="1:8" ht="16.5" customHeight="1" x14ac:dyDescent="0.3">
      <c r="A19" s="141"/>
      <c r="B19" s="142"/>
      <c r="C19" s="142"/>
      <c r="D19" s="116"/>
      <c r="E19" s="130"/>
    </row>
    <row r="20" spans="1:8" ht="24" customHeight="1" x14ac:dyDescent="0.3">
      <c r="A20" s="732" t="s">
        <v>425</v>
      </c>
      <c r="B20" s="733"/>
      <c r="C20" s="734"/>
      <c r="G20" s="38"/>
    </row>
    <row r="21" spans="1:8" ht="21.75" customHeight="1" x14ac:dyDescent="0.3">
      <c r="A21" s="111" t="s">
        <v>235</v>
      </c>
      <c r="B21" s="112">
        <f>Produção!N78</f>
        <v>542207.56772710336</v>
      </c>
      <c r="C21" s="179">
        <f>Produção!Y78</f>
        <v>491516.18797710328</v>
      </c>
      <c r="D21" s="115">
        <f>B21-C21</f>
        <v>50691.37975000008</v>
      </c>
      <c r="E21" s="128">
        <f>(D21/B21)*100%</f>
        <v>9.3490727107507623E-2</v>
      </c>
      <c r="F21" s="107"/>
      <c r="H21" s="107"/>
    </row>
    <row r="22" spans="1:8" ht="21.75" customHeight="1" x14ac:dyDescent="0.3">
      <c r="A22" s="180" t="s">
        <v>428</v>
      </c>
      <c r="B22" s="177">
        <f>'EXTRAS 1'!N25</f>
        <v>89648.316142661861</v>
      </c>
      <c r="C22" s="110">
        <f>'EXTRAS 1'!Y25</f>
        <v>75889.316142661861</v>
      </c>
      <c r="D22" s="115">
        <f>B22-C22</f>
        <v>13759</v>
      </c>
      <c r="E22" s="128">
        <f>(D22/B22)*100%</f>
        <v>0.15347750623787082</v>
      </c>
      <c r="F22" s="107"/>
      <c r="H22" s="107"/>
    </row>
    <row r="23" spans="1:8" ht="21.75" customHeight="1" x14ac:dyDescent="0.3">
      <c r="A23" s="111" t="s">
        <v>429</v>
      </c>
      <c r="B23" s="112">
        <f>'EXTRAS 2'!N53</f>
        <v>126577.77799179817</v>
      </c>
      <c r="C23" s="179">
        <f>'EXTRAS 2'!Y53</f>
        <v>56235.11004179818</v>
      </c>
      <c r="D23" s="116">
        <f>B23-C23</f>
        <v>70342.667949999988</v>
      </c>
      <c r="E23" s="130">
        <f>(D23/B23)*100%</f>
        <v>0.55572683504175568</v>
      </c>
      <c r="F23" s="107"/>
    </row>
    <row r="24" spans="1:8" ht="24" customHeight="1" x14ac:dyDescent="0.3">
      <c r="A24" s="125" t="s">
        <v>335</v>
      </c>
      <c r="B24" s="126">
        <f>SUM(B21:B23)</f>
        <v>758433.66186156333</v>
      </c>
      <c r="C24" s="126">
        <f>SUM(C21:C23)</f>
        <v>623640.61416156334</v>
      </c>
      <c r="D24" s="116">
        <f>B24-C24</f>
        <v>134793.0477</v>
      </c>
      <c r="E24" s="130">
        <f>(D24/B24)*100%</f>
        <v>0.17772556055746869</v>
      </c>
      <c r="F24" s="107"/>
    </row>
    <row r="25" spans="1:8" ht="16.5" customHeight="1" x14ac:dyDescent="0.3">
      <c r="A25" s="141"/>
      <c r="B25" s="142"/>
      <c r="C25" s="142"/>
      <c r="D25" s="116"/>
      <c r="E25" s="130"/>
    </row>
    <row r="26" spans="1:8" ht="24" customHeight="1" x14ac:dyDescent="0.3">
      <c r="A26" s="724" t="s">
        <v>426</v>
      </c>
      <c r="B26" s="725"/>
      <c r="C26" s="726"/>
      <c r="G26" s="38"/>
    </row>
    <row r="27" spans="1:8" ht="21.75" customHeight="1" x14ac:dyDescent="0.3">
      <c r="A27" s="176" t="s">
        <v>430</v>
      </c>
      <c r="B27" s="177">
        <f>'Opções de Estande - ND'!N17</f>
        <v>1048180.6153145272</v>
      </c>
      <c r="C27" s="178">
        <f>'Opções de Estande - ND'!Y17</f>
        <v>970245.13791452709</v>
      </c>
      <c r="D27" s="115">
        <f>B27-C27</f>
        <v>77935.477400000091</v>
      </c>
      <c r="E27" s="128">
        <f>(D27/B27)*100%</f>
        <v>7.4353099324026339E-2</v>
      </c>
      <c r="F27" s="107"/>
    </row>
    <row r="28" spans="1:8" ht="21.75" customHeight="1" x14ac:dyDescent="0.3">
      <c r="A28" s="176" t="s">
        <v>408</v>
      </c>
      <c r="B28" s="177">
        <f>'Oper. Extras Estandes - ND'!N27</f>
        <v>91615.92921883933</v>
      </c>
      <c r="C28" s="178">
        <f>'Oper. Extras Estandes - ND'!Y27</f>
        <v>41046.71761883932</v>
      </c>
      <c r="D28" s="115">
        <f>B28-C28</f>
        <v>50569.21160000001</v>
      </c>
      <c r="E28" s="128">
        <f>(D28/B28)*100%</f>
        <v>0.5519696414278279</v>
      </c>
      <c r="F28" s="107"/>
      <c r="H28" s="107"/>
    </row>
    <row r="29" spans="1:8" ht="24" customHeight="1" x14ac:dyDescent="0.3">
      <c r="A29" s="125" t="s">
        <v>422</v>
      </c>
      <c r="B29" s="126">
        <f>SUM(B27:B28)</f>
        <v>1139796.5445333666</v>
      </c>
      <c r="C29" s="127">
        <f>SUM(C27:C28)</f>
        <v>1011291.8555333664</v>
      </c>
      <c r="D29" s="116">
        <f>B29-C29</f>
        <v>128504.68900000013</v>
      </c>
      <c r="E29" s="130">
        <f t="shared" ref="E29" si="1">(D29/B29)*100%</f>
        <v>0.1127435327088222</v>
      </c>
      <c r="F29" s="107"/>
    </row>
    <row r="31" spans="1:8" ht="24" customHeight="1" x14ac:dyDescent="0.3">
      <c r="A31" s="153" t="s">
        <v>423</v>
      </c>
      <c r="B31" s="154" t="e">
        <f>B18+B24+B29</f>
        <v>#REF!</v>
      </c>
      <c r="C31" s="154">
        <f>C24+C29</f>
        <v>1634932.4696949297</v>
      </c>
      <c r="D31" s="116"/>
      <c r="E31" s="130"/>
      <c r="F31" s="107"/>
    </row>
    <row r="32" spans="1:8" ht="24" customHeight="1" x14ac:dyDescent="0.3">
      <c r="A32" s="192" t="s">
        <v>427</v>
      </c>
      <c r="B32" s="193">
        <f>B24+B29</f>
        <v>1898230.2063949299</v>
      </c>
      <c r="C32" s="193">
        <f>C24+C29</f>
        <v>1634932.4696949297</v>
      </c>
      <c r="D32" s="116">
        <f>B32-C32</f>
        <v>263297.73670000024</v>
      </c>
      <c r="E32" s="130">
        <f t="shared" ref="E32" si="2">(D32/B32)*100%</f>
        <v>0.13870695757183663</v>
      </c>
    </row>
  </sheetData>
  <mergeCells count="14">
    <mergeCell ref="A26:C26"/>
    <mergeCell ref="D15:F15"/>
    <mergeCell ref="A16:C16"/>
    <mergeCell ref="A1:B1"/>
    <mergeCell ref="A2:B2"/>
    <mergeCell ref="B4:C4"/>
    <mergeCell ref="B5:C5"/>
    <mergeCell ref="B6:C6"/>
    <mergeCell ref="B7:C7"/>
    <mergeCell ref="B8:C8"/>
    <mergeCell ref="B9:C9"/>
    <mergeCell ref="B10:C10"/>
    <mergeCell ref="B11:C11"/>
    <mergeCell ref="A20:C20"/>
  </mergeCell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9"/>
  <sheetViews>
    <sheetView zoomScaleNormal="100" workbookViewId="0">
      <selection activeCell="A10" sqref="A10:XFD28"/>
    </sheetView>
  </sheetViews>
  <sheetFormatPr defaultColWidth="8.88671875" defaultRowHeight="14.4" x14ac:dyDescent="0.3"/>
  <cols>
    <col min="1" max="1" width="35.109375" customWidth="1"/>
    <col min="2" max="3" width="20.109375" customWidth="1"/>
    <col min="4" max="4" width="40.44140625" customWidth="1"/>
    <col min="5" max="5" width="17.88671875" customWidth="1"/>
    <col min="6" max="7" width="15.109375" customWidth="1"/>
    <col min="8" max="8" width="25.109375" customWidth="1"/>
    <col min="9" max="10" width="15.109375" customWidth="1"/>
    <col min="11" max="11" width="10.109375" customWidth="1"/>
    <col min="12" max="12" width="15.109375" customWidth="1"/>
    <col min="13" max="13" width="12.88671875" customWidth="1"/>
    <col min="14" max="14" width="15.109375" customWidth="1"/>
    <col min="15" max="15" width="40.44140625" customWidth="1"/>
  </cols>
  <sheetData>
    <row r="1" spans="1:15" ht="15" x14ac:dyDescent="0.3">
      <c r="A1" s="736" t="s">
        <v>10</v>
      </c>
      <c r="B1" s="736"/>
      <c r="C1" s="736"/>
      <c r="D1" s="738" t="s">
        <v>53</v>
      </c>
      <c r="E1" s="738"/>
      <c r="F1" s="738"/>
      <c r="G1" s="738"/>
      <c r="H1" s="738"/>
      <c r="I1" s="738"/>
      <c r="J1" s="30" t="s">
        <v>10</v>
      </c>
      <c r="K1" s="30" t="s">
        <v>10</v>
      </c>
      <c r="L1" s="30" t="s">
        <v>10</v>
      </c>
      <c r="M1" s="30" t="s">
        <v>10</v>
      </c>
      <c r="N1" s="30" t="s">
        <v>10</v>
      </c>
      <c r="O1" s="31" t="s">
        <v>10</v>
      </c>
    </row>
    <row r="2" spans="1:15" x14ac:dyDescent="0.3">
      <c r="A2" s="737"/>
      <c r="B2" s="737"/>
      <c r="C2" s="737"/>
      <c r="D2" s="736" t="s">
        <v>54</v>
      </c>
      <c r="E2" s="736"/>
      <c r="F2" s="736"/>
      <c r="G2" s="736"/>
      <c r="H2" s="736"/>
      <c r="I2" s="736"/>
      <c r="J2" s="30"/>
      <c r="K2" s="30"/>
      <c r="L2" s="30"/>
      <c r="M2" s="30"/>
      <c r="N2" s="30"/>
      <c r="O2" s="739" t="s">
        <v>55</v>
      </c>
    </row>
    <row r="3" spans="1:15" x14ac:dyDescent="0.3">
      <c r="A3" s="737"/>
      <c r="B3" s="737"/>
      <c r="C3" s="737"/>
      <c r="D3" s="736" t="s">
        <v>56</v>
      </c>
      <c r="E3" s="736"/>
      <c r="F3" s="736"/>
      <c r="G3" s="736"/>
      <c r="H3" s="736"/>
      <c r="I3" s="736"/>
      <c r="J3" s="30"/>
      <c r="K3" s="30"/>
      <c r="L3" s="30"/>
      <c r="M3" s="30"/>
      <c r="N3" s="30"/>
      <c r="O3" s="740"/>
    </row>
    <row r="4" spans="1:15" x14ac:dyDescent="0.3">
      <c r="A4" s="737"/>
      <c r="B4" s="737"/>
      <c r="C4" s="737"/>
      <c r="D4" s="736" t="s">
        <v>57</v>
      </c>
      <c r="E4" s="736"/>
      <c r="F4" s="736"/>
      <c r="G4" s="736"/>
      <c r="H4" s="736"/>
      <c r="I4" s="736"/>
      <c r="J4" s="30"/>
      <c r="K4" s="30"/>
      <c r="L4" s="30"/>
      <c r="M4" s="30"/>
      <c r="N4" s="30"/>
      <c r="O4" s="740"/>
    </row>
    <row r="5" spans="1:15" x14ac:dyDescent="0.3">
      <c r="A5" s="737"/>
      <c r="B5" s="737"/>
      <c r="C5" s="737"/>
      <c r="D5" s="736" t="s">
        <v>58</v>
      </c>
      <c r="E5" s="736"/>
      <c r="F5" s="736"/>
      <c r="G5" s="736"/>
      <c r="H5" s="736"/>
      <c r="I5" s="736"/>
      <c r="J5" s="30"/>
      <c r="K5" s="30"/>
      <c r="L5" s="30"/>
      <c r="M5" s="30"/>
      <c r="N5" s="30"/>
      <c r="O5" s="740"/>
    </row>
    <row r="6" spans="1:15" x14ac:dyDescent="0.3">
      <c r="A6" s="737"/>
      <c r="B6" s="737"/>
      <c r="C6" s="737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740"/>
    </row>
    <row r="7" spans="1:15" x14ac:dyDescent="0.3">
      <c r="A7" s="737"/>
      <c r="B7" s="737"/>
      <c r="C7" s="737"/>
      <c r="D7" s="736" t="s">
        <v>59</v>
      </c>
      <c r="E7" s="736"/>
      <c r="F7" s="736"/>
      <c r="G7" s="736"/>
      <c r="H7" s="736"/>
      <c r="I7" s="736"/>
      <c r="J7" s="30"/>
      <c r="K7" s="30"/>
      <c r="L7" s="30"/>
      <c r="M7" s="30"/>
      <c r="N7" s="30"/>
      <c r="O7" s="32">
        <v>45264.482613275461</v>
      </c>
    </row>
    <row r="8" spans="1:15" x14ac:dyDescent="0.3">
      <c r="A8" s="735" t="s">
        <v>60</v>
      </c>
      <c r="B8" s="735"/>
      <c r="C8" s="735"/>
      <c r="D8" s="735"/>
      <c r="E8" s="735"/>
      <c r="F8" s="735"/>
      <c r="G8" s="735"/>
      <c r="H8" s="735"/>
      <c r="I8" s="735"/>
      <c r="J8" s="735"/>
      <c r="K8" s="735"/>
      <c r="L8" s="735"/>
      <c r="M8" s="735"/>
      <c r="N8" s="735"/>
      <c r="O8" s="735"/>
    </row>
    <row r="9" spans="1:15" ht="27.6" x14ac:dyDescent="0.3">
      <c r="A9" s="33" t="s">
        <v>61</v>
      </c>
      <c r="B9" s="33" t="s">
        <v>62</v>
      </c>
      <c r="C9" s="33" t="s">
        <v>63</v>
      </c>
      <c r="D9" s="33" t="s">
        <v>47</v>
      </c>
      <c r="E9" s="33" t="s">
        <v>64</v>
      </c>
      <c r="F9" s="33" t="s">
        <v>65</v>
      </c>
      <c r="G9" s="33" t="s">
        <v>33</v>
      </c>
      <c r="H9" s="33" t="s">
        <v>66</v>
      </c>
      <c r="I9" s="33" t="s">
        <v>67</v>
      </c>
      <c r="J9" s="33" t="s">
        <v>65</v>
      </c>
      <c r="K9" s="33" t="s">
        <v>68</v>
      </c>
      <c r="L9" s="33" t="s">
        <v>69</v>
      </c>
      <c r="M9" s="33" t="s">
        <v>70</v>
      </c>
      <c r="N9" s="33" t="s">
        <v>71</v>
      </c>
      <c r="O9" s="34" t="s">
        <v>72</v>
      </c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workbookViewId="0">
      <selection activeCell="C39" sqref="C39:K45"/>
    </sheetView>
  </sheetViews>
  <sheetFormatPr defaultColWidth="8.88671875" defaultRowHeight="14.4" x14ac:dyDescent="0.3"/>
  <cols>
    <col min="1" max="2" width="1.88671875" customWidth="1"/>
    <col min="3" max="3" width="12.44140625" customWidth="1"/>
    <col min="4" max="4" width="4.88671875" customWidth="1"/>
    <col min="5" max="5" width="10.88671875" customWidth="1"/>
    <col min="6" max="6" width="7.88671875" bestFit="1" customWidth="1"/>
    <col min="7" max="7" width="11" customWidth="1"/>
    <col min="8" max="8" width="11.109375" customWidth="1"/>
    <col min="9" max="9" width="11.88671875" customWidth="1"/>
    <col min="10" max="10" width="4.88671875" customWidth="1"/>
    <col min="11" max="11" width="14.44140625" customWidth="1"/>
    <col min="12" max="12" width="1.88671875" customWidth="1"/>
  </cols>
  <sheetData>
    <row r="1" spans="2:12" ht="8.4" customHeight="1" thickBot="1" x14ac:dyDescent="0.35"/>
    <row r="2" spans="2:12" ht="38.4" customHeight="1" x14ac:dyDescent="0.4">
      <c r="B2" s="774" t="s">
        <v>3</v>
      </c>
      <c r="C2" s="775"/>
      <c r="D2" s="775"/>
      <c r="E2" s="775"/>
      <c r="F2" s="775"/>
      <c r="G2" s="775"/>
      <c r="H2" s="775"/>
      <c r="I2" s="775"/>
      <c r="J2" s="775"/>
      <c r="K2" s="775"/>
      <c r="L2" s="776"/>
    </row>
    <row r="3" spans="2:12" ht="47.4" customHeight="1" thickBot="1" x14ac:dyDescent="0.35">
      <c r="B3" s="777" t="s">
        <v>11</v>
      </c>
      <c r="C3" s="778"/>
      <c r="D3" s="778"/>
      <c r="E3" s="778"/>
      <c r="F3" s="778"/>
      <c r="G3" s="778"/>
      <c r="H3" s="778"/>
      <c r="I3" s="778"/>
      <c r="J3" s="778"/>
      <c r="K3" s="778"/>
      <c r="L3" s="779"/>
    </row>
    <row r="4" spans="2:12" ht="7.35" customHeight="1" thickBot="1" x14ac:dyDescent="0.35"/>
    <row r="5" spans="2:12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3"/>
    </row>
    <row r="6" spans="2:12" x14ac:dyDescent="0.3">
      <c r="B6" s="4"/>
      <c r="C6" s="746" t="s">
        <v>12</v>
      </c>
      <c r="D6" s="746"/>
      <c r="E6" s="746"/>
      <c r="F6" s="746"/>
      <c r="G6" s="746"/>
      <c r="H6" s="746"/>
      <c r="I6" s="746"/>
      <c r="J6" s="746"/>
      <c r="K6" s="746"/>
      <c r="L6" s="5"/>
    </row>
    <row r="7" spans="2:12" ht="6" customHeight="1" x14ac:dyDescent="0.3">
      <c r="B7" s="4"/>
      <c r="L7" s="5"/>
    </row>
    <row r="8" spans="2:12" x14ac:dyDescent="0.3">
      <c r="B8" s="4"/>
      <c r="C8" s="6" t="s">
        <v>13</v>
      </c>
      <c r="D8" s="780" t="s">
        <v>98</v>
      </c>
      <c r="E8" s="781"/>
      <c r="F8" s="781"/>
      <c r="G8" s="781"/>
      <c r="H8" s="781"/>
      <c r="I8" s="781"/>
      <c r="J8" s="781"/>
      <c r="K8" s="782"/>
      <c r="L8" s="5"/>
    </row>
    <row r="9" spans="2:12" x14ac:dyDescent="0.3">
      <c r="B9" s="4"/>
      <c r="C9" s="7" t="s">
        <v>14</v>
      </c>
      <c r="D9" s="767" t="s">
        <v>15</v>
      </c>
      <c r="E9" s="768"/>
      <c r="F9" s="768"/>
      <c r="G9" s="768"/>
      <c r="H9" s="768"/>
      <c r="I9" s="768"/>
      <c r="J9" s="768"/>
      <c r="K9" s="769"/>
      <c r="L9" s="5"/>
    </row>
    <row r="10" spans="2:12" x14ac:dyDescent="0.3">
      <c r="B10" s="4"/>
      <c r="C10" s="7" t="s">
        <v>16</v>
      </c>
      <c r="D10" s="767" t="s">
        <v>10</v>
      </c>
      <c r="E10" s="768"/>
      <c r="F10" s="768"/>
      <c r="G10" s="768"/>
      <c r="H10" s="768"/>
      <c r="I10" s="768"/>
      <c r="J10" s="768"/>
      <c r="K10" s="769"/>
      <c r="L10" s="5"/>
    </row>
    <row r="11" spans="2:12" x14ac:dyDescent="0.3">
      <c r="B11" s="4"/>
      <c r="C11" s="7" t="s">
        <v>17</v>
      </c>
      <c r="D11" s="767" t="s">
        <v>99</v>
      </c>
      <c r="E11" s="768"/>
      <c r="F11" s="768"/>
      <c r="G11" s="768"/>
      <c r="H11" s="768"/>
      <c r="I11" s="768"/>
      <c r="J11" s="768"/>
      <c r="K11" s="769"/>
      <c r="L11" s="5"/>
    </row>
    <row r="12" spans="2:12" x14ac:dyDescent="0.3">
      <c r="B12" s="4"/>
      <c r="C12" s="10" t="s">
        <v>18</v>
      </c>
      <c r="D12" s="764" t="s">
        <v>100</v>
      </c>
      <c r="E12" s="765"/>
      <c r="F12" s="765"/>
      <c r="G12" s="765"/>
      <c r="H12" s="766"/>
      <c r="I12" s="11" t="s">
        <v>19</v>
      </c>
      <c r="J12" s="764" t="s">
        <v>97</v>
      </c>
      <c r="K12" s="766"/>
      <c r="L12" s="5"/>
    </row>
    <row r="13" spans="2:12" ht="6" customHeight="1" thickBot="1" x14ac:dyDescent="0.3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4"/>
    </row>
    <row r="14" spans="2:12" ht="7.35" customHeight="1" thickBot="1" x14ac:dyDescent="0.35"/>
    <row r="15" spans="2:12" ht="8.1" customHeight="1" x14ac:dyDescent="0.3">
      <c r="B15" s="1"/>
      <c r="C15" s="2"/>
      <c r="D15" s="2"/>
      <c r="E15" s="2"/>
      <c r="F15" s="2"/>
      <c r="G15" s="2"/>
      <c r="H15" s="2"/>
      <c r="I15" s="2"/>
      <c r="J15" s="2"/>
      <c r="K15" s="2"/>
      <c r="L15" s="3"/>
    </row>
    <row r="16" spans="2:12" x14ac:dyDescent="0.3">
      <c r="B16" s="4"/>
      <c r="C16" s="746" t="s">
        <v>20</v>
      </c>
      <c r="D16" s="746"/>
      <c r="E16" s="746"/>
      <c r="F16" s="746"/>
      <c r="G16" s="746"/>
      <c r="H16" s="746"/>
      <c r="I16" s="746"/>
      <c r="J16" s="746"/>
      <c r="K16" s="746"/>
      <c r="L16" s="5"/>
    </row>
    <row r="17" spans="2:12" ht="9" customHeight="1" x14ac:dyDescent="0.3">
      <c r="B17" s="4"/>
      <c r="L17" s="5"/>
    </row>
    <row r="18" spans="2:12" x14ac:dyDescent="0.3">
      <c r="B18" s="4"/>
      <c r="C18" s="6"/>
      <c r="D18" s="770" t="s">
        <v>73</v>
      </c>
      <c r="E18" s="770"/>
      <c r="F18" s="770"/>
      <c r="G18" s="761"/>
      <c r="H18" s="770" t="s">
        <v>21</v>
      </c>
      <c r="I18" s="770"/>
      <c r="J18" s="770"/>
      <c r="K18" s="761"/>
      <c r="L18" s="5"/>
    </row>
    <row r="19" spans="2:12" x14ac:dyDescent="0.3">
      <c r="B19" s="4"/>
      <c r="C19" s="15" t="s">
        <v>22</v>
      </c>
      <c r="D19" s="771" t="s">
        <v>102</v>
      </c>
      <c r="E19" s="772"/>
      <c r="F19" s="772"/>
      <c r="G19" s="772"/>
      <c r="H19" s="772"/>
      <c r="I19" s="772"/>
      <c r="J19" s="772"/>
      <c r="K19" s="773"/>
      <c r="L19" s="5"/>
    </row>
    <row r="20" spans="2:12" x14ac:dyDescent="0.3">
      <c r="B20" s="4"/>
      <c r="C20" s="7" t="s">
        <v>23</v>
      </c>
      <c r="D20" s="767"/>
      <c r="E20" s="768"/>
      <c r="F20" s="768"/>
      <c r="G20" s="768"/>
      <c r="H20" s="768"/>
      <c r="I20" s="768"/>
      <c r="J20" s="768"/>
      <c r="K20" s="769"/>
      <c r="L20" s="5"/>
    </row>
    <row r="21" spans="2:12" x14ac:dyDescent="0.3">
      <c r="B21" s="4"/>
      <c r="C21" s="7" t="s">
        <v>24</v>
      </c>
      <c r="D21" s="767" t="s">
        <v>106</v>
      </c>
      <c r="E21" s="769"/>
      <c r="F21" s="7" t="s">
        <v>49</v>
      </c>
      <c r="G21" s="16" t="s">
        <v>107</v>
      </c>
      <c r="H21" s="7" t="s">
        <v>25</v>
      </c>
      <c r="I21" s="8" t="s">
        <v>108</v>
      </c>
      <c r="J21" s="7" t="s">
        <v>26</v>
      </c>
      <c r="K21" s="9" t="s">
        <v>10</v>
      </c>
      <c r="L21" s="5"/>
    </row>
    <row r="22" spans="2:12" x14ac:dyDescent="0.3">
      <c r="B22" s="4"/>
      <c r="C22" s="7" t="s">
        <v>27</v>
      </c>
      <c r="D22" s="767" t="s">
        <v>101</v>
      </c>
      <c r="E22" s="768"/>
      <c r="F22" s="768"/>
      <c r="G22" s="769"/>
      <c r="H22" s="7" t="s">
        <v>28</v>
      </c>
      <c r="I22" s="767"/>
      <c r="J22" s="768"/>
      <c r="K22" s="769"/>
      <c r="L22" s="5"/>
    </row>
    <row r="23" spans="2:12" x14ac:dyDescent="0.3">
      <c r="B23" s="4"/>
      <c r="C23" s="10" t="s">
        <v>29</v>
      </c>
      <c r="D23" s="764" t="s">
        <v>103</v>
      </c>
      <c r="E23" s="765"/>
      <c r="F23" s="765"/>
      <c r="G23" s="766"/>
      <c r="H23" s="10" t="s">
        <v>30</v>
      </c>
      <c r="I23" s="764" t="s">
        <v>10</v>
      </c>
      <c r="J23" s="765"/>
      <c r="K23" s="766"/>
      <c r="L23" s="5"/>
    </row>
    <row r="24" spans="2:12" ht="6.75" customHeight="1" thickBot="1" x14ac:dyDescent="0.3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4"/>
    </row>
    <row r="25" spans="2:12" ht="9.75" customHeight="1" thickBot="1" x14ac:dyDescent="0.35"/>
    <row r="26" spans="2:12" ht="8.1" customHeight="1" x14ac:dyDescent="0.3">
      <c r="B26" s="1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2:12" x14ac:dyDescent="0.3">
      <c r="B27" s="4"/>
      <c r="C27" s="746" t="s">
        <v>20</v>
      </c>
      <c r="D27" s="746"/>
      <c r="E27" s="746"/>
      <c r="F27" s="746"/>
      <c r="G27" s="746"/>
      <c r="H27" s="746"/>
      <c r="I27" s="746"/>
      <c r="J27" s="746"/>
      <c r="K27" s="746"/>
      <c r="L27" s="5"/>
    </row>
    <row r="28" spans="2:12" x14ac:dyDescent="0.3">
      <c r="B28" s="4"/>
      <c r="L28" s="5"/>
    </row>
    <row r="29" spans="2:12" x14ac:dyDescent="0.3">
      <c r="B29" s="4"/>
      <c r="C29" s="6" t="s">
        <v>31</v>
      </c>
      <c r="D29" s="760" t="s">
        <v>32</v>
      </c>
      <c r="E29" s="761"/>
      <c r="F29" s="760" t="s">
        <v>33</v>
      </c>
      <c r="G29" s="761"/>
      <c r="H29" s="762" t="s">
        <v>34</v>
      </c>
      <c r="I29" s="762"/>
      <c r="J29" s="762"/>
      <c r="K29" s="763"/>
      <c r="L29" s="5"/>
    </row>
    <row r="30" spans="2:12" x14ac:dyDescent="0.3">
      <c r="B30" s="4"/>
      <c r="C30" s="17" t="s">
        <v>35</v>
      </c>
      <c r="D30" s="747" t="s">
        <v>104</v>
      </c>
      <c r="E30" s="748"/>
      <c r="F30" s="749" t="s">
        <v>109</v>
      </c>
      <c r="G30" s="750"/>
      <c r="H30" s="18" t="s">
        <v>105</v>
      </c>
      <c r="I30" s="760" t="s">
        <v>39</v>
      </c>
      <c r="J30" s="761"/>
      <c r="K30" s="6" t="s">
        <v>37</v>
      </c>
      <c r="L30" s="5"/>
    </row>
    <row r="31" spans="2:12" x14ac:dyDescent="0.3">
      <c r="B31" s="4"/>
      <c r="C31" s="17" t="s">
        <v>38</v>
      </c>
      <c r="D31" s="747" t="s">
        <v>10</v>
      </c>
      <c r="E31" s="748"/>
      <c r="F31" s="749" t="s">
        <v>10</v>
      </c>
      <c r="G31" s="750"/>
      <c r="H31" s="17" t="s">
        <v>36</v>
      </c>
      <c r="I31" s="751" t="s">
        <v>39</v>
      </c>
      <c r="J31" s="752"/>
      <c r="K31" s="7" t="s">
        <v>37</v>
      </c>
      <c r="L31" s="5"/>
    </row>
    <row r="32" spans="2:12" x14ac:dyDescent="0.3">
      <c r="B32" s="4"/>
      <c r="C32" s="17" t="s">
        <v>40</v>
      </c>
      <c r="D32" s="747" t="s">
        <v>10</v>
      </c>
      <c r="E32" s="748"/>
      <c r="F32" s="749" t="s">
        <v>10</v>
      </c>
      <c r="G32" s="750"/>
      <c r="H32" s="17" t="s">
        <v>36</v>
      </c>
      <c r="I32" s="751" t="s">
        <v>39</v>
      </c>
      <c r="J32" s="752"/>
      <c r="K32" s="7" t="s">
        <v>37</v>
      </c>
      <c r="L32" s="5"/>
    </row>
    <row r="33" spans="2:12" x14ac:dyDescent="0.3">
      <c r="B33" s="4"/>
      <c r="C33" s="19" t="s">
        <v>41</v>
      </c>
      <c r="D33" s="747" t="s">
        <v>10</v>
      </c>
      <c r="E33" s="748"/>
      <c r="F33" s="753" t="s">
        <v>10</v>
      </c>
      <c r="G33" s="754"/>
      <c r="H33" s="17" t="s">
        <v>36</v>
      </c>
      <c r="I33" s="751" t="s">
        <v>39</v>
      </c>
      <c r="J33" s="752"/>
      <c r="K33" s="7" t="s">
        <v>37</v>
      </c>
      <c r="L33" s="5"/>
    </row>
    <row r="34" spans="2:12" x14ac:dyDescent="0.3">
      <c r="B34" s="4"/>
      <c r="C34" s="755" t="s">
        <v>42</v>
      </c>
      <c r="D34" s="756"/>
      <c r="E34" s="757"/>
      <c r="F34" s="758" t="s">
        <v>109</v>
      </c>
      <c r="G34" s="759"/>
      <c r="H34" s="20"/>
      <c r="I34" s="21"/>
      <c r="J34" s="22"/>
      <c r="K34" s="20"/>
      <c r="L34" s="5"/>
    </row>
    <row r="35" spans="2:12" ht="15" thickBot="1" x14ac:dyDescent="0.3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4"/>
    </row>
    <row r="36" spans="2:12" ht="15" thickBot="1" x14ac:dyDescent="0.35"/>
    <row r="37" spans="2:12" ht="6" customHeight="1" x14ac:dyDescent="0.3">
      <c r="B37" s="1"/>
      <c r="C37" s="2"/>
      <c r="D37" s="2"/>
      <c r="E37" s="2"/>
      <c r="F37" s="2"/>
      <c r="G37" s="2"/>
      <c r="H37" s="2"/>
      <c r="I37" s="2"/>
      <c r="J37" s="2"/>
      <c r="K37" s="2"/>
      <c r="L37" s="3"/>
    </row>
    <row r="38" spans="2:12" x14ac:dyDescent="0.3">
      <c r="B38" s="4"/>
      <c r="C38" s="746" t="s">
        <v>43</v>
      </c>
      <c r="D38" s="746"/>
      <c r="E38" s="746"/>
      <c r="F38" s="746"/>
      <c r="G38" s="746"/>
      <c r="H38" s="746"/>
      <c r="I38" s="746"/>
      <c r="J38" s="746"/>
      <c r="K38" s="746"/>
      <c r="L38" s="5"/>
    </row>
    <row r="39" spans="2:12" x14ac:dyDescent="0.3">
      <c r="B39" s="4"/>
      <c r="C39" s="744" t="s">
        <v>110</v>
      </c>
      <c r="D39" s="744"/>
      <c r="E39" s="744"/>
      <c r="F39" s="744"/>
      <c r="G39" s="744"/>
      <c r="H39" s="744"/>
      <c r="I39" s="744"/>
      <c r="J39" s="744"/>
      <c r="K39" s="744"/>
      <c r="L39" s="5"/>
    </row>
    <row r="40" spans="2:12" x14ac:dyDescent="0.3">
      <c r="B40" s="4"/>
      <c r="C40" s="744"/>
      <c r="D40" s="744"/>
      <c r="E40" s="744"/>
      <c r="F40" s="744"/>
      <c r="G40" s="744"/>
      <c r="H40" s="744"/>
      <c r="I40" s="744"/>
      <c r="J40" s="744"/>
      <c r="K40" s="744"/>
      <c r="L40" s="5"/>
    </row>
    <row r="41" spans="2:12" x14ac:dyDescent="0.3">
      <c r="B41" s="4"/>
      <c r="C41" s="744"/>
      <c r="D41" s="744"/>
      <c r="E41" s="744"/>
      <c r="F41" s="744"/>
      <c r="G41" s="744"/>
      <c r="H41" s="744"/>
      <c r="I41" s="744"/>
      <c r="J41" s="744"/>
      <c r="K41" s="744"/>
      <c r="L41" s="5"/>
    </row>
    <row r="42" spans="2:12" x14ac:dyDescent="0.3">
      <c r="B42" s="4"/>
      <c r="C42" s="744"/>
      <c r="D42" s="744"/>
      <c r="E42" s="744"/>
      <c r="F42" s="744"/>
      <c r="G42" s="744"/>
      <c r="H42" s="744"/>
      <c r="I42" s="744"/>
      <c r="J42" s="744"/>
      <c r="K42" s="744"/>
      <c r="L42" s="5"/>
    </row>
    <row r="43" spans="2:12" x14ac:dyDescent="0.3">
      <c r="B43" s="4"/>
      <c r="C43" s="744"/>
      <c r="D43" s="744"/>
      <c r="E43" s="744"/>
      <c r="F43" s="744"/>
      <c r="G43" s="744"/>
      <c r="H43" s="744"/>
      <c r="I43" s="744"/>
      <c r="J43" s="744"/>
      <c r="K43" s="744"/>
      <c r="L43" s="5"/>
    </row>
    <row r="44" spans="2:12" x14ac:dyDescent="0.3">
      <c r="B44" s="4"/>
      <c r="C44" s="744"/>
      <c r="D44" s="744"/>
      <c r="E44" s="744"/>
      <c r="F44" s="744"/>
      <c r="G44" s="744"/>
      <c r="H44" s="744"/>
      <c r="I44" s="744"/>
      <c r="J44" s="744"/>
      <c r="K44" s="744"/>
      <c r="L44" s="5"/>
    </row>
    <row r="45" spans="2:12" x14ac:dyDescent="0.3">
      <c r="B45" s="4"/>
      <c r="C45" s="745"/>
      <c r="D45" s="745"/>
      <c r="E45" s="745"/>
      <c r="F45" s="745"/>
      <c r="G45" s="745"/>
      <c r="H45" s="745"/>
      <c r="I45" s="745"/>
      <c r="J45" s="745"/>
      <c r="K45" s="745"/>
      <c r="L45" s="5"/>
    </row>
    <row r="46" spans="2:12" ht="8.4" customHeight="1" thickBot="1" x14ac:dyDescent="0.3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4"/>
    </row>
    <row r="47" spans="2:12" ht="9" customHeight="1" thickBot="1" x14ac:dyDescent="0.35"/>
    <row r="48" spans="2:12" x14ac:dyDescent="0.3">
      <c r="B48" s="741" t="s">
        <v>44</v>
      </c>
      <c r="C48" s="742"/>
      <c r="D48" s="2"/>
      <c r="E48" s="2"/>
      <c r="F48" s="2"/>
      <c r="G48" s="2"/>
      <c r="H48" s="2"/>
      <c r="I48" s="2"/>
      <c r="J48" s="2"/>
      <c r="K48" s="2"/>
      <c r="L48" s="3"/>
    </row>
    <row r="49" spans="2:12" x14ac:dyDescent="0.3">
      <c r="B49" s="4"/>
      <c r="L49" s="5"/>
    </row>
    <row r="50" spans="2:12" x14ac:dyDescent="0.3">
      <c r="B50" s="4"/>
      <c r="C50" s="23"/>
      <c r="L50" s="5"/>
    </row>
    <row r="51" spans="2:12" x14ac:dyDescent="0.3">
      <c r="B51" s="4"/>
      <c r="C51" s="743" t="s">
        <v>45</v>
      </c>
      <c r="D51" s="743"/>
      <c r="E51" s="743"/>
      <c r="F51" s="743"/>
      <c r="H51" s="743" t="s">
        <v>46</v>
      </c>
      <c r="I51" s="743"/>
      <c r="J51" s="743"/>
      <c r="K51" s="743"/>
      <c r="L51" s="5"/>
    </row>
    <row r="52" spans="2:12" ht="15" thickBot="1" x14ac:dyDescent="0.3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4"/>
    </row>
  </sheetData>
  <mergeCells count="42">
    <mergeCell ref="D10:K10"/>
    <mergeCell ref="B2:L2"/>
    <mergeCell ref="B3:L3"/>
    <mergeCell ref="C6:K6"/>
    <mergeCell ref="D8:K8"/>
    <mergeCell ref="D9:K9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C27:K27"/>
    <mergeCell ref="D29:E29"/>
    <mergeCell ref="F29:G29"/>
    <mergeCell ref="H29:K29"/>
    <mergeCell ref="D30:E30"/>
    <mergeCell ref="F30:G30"/>
    <mergeCell ref="I30:J30"/>
    <mergeCell ref="D33:E33"/>
    <mergeCell ref="F33:G33"/>
    <mergeCell ref="I33:J33"/>
    <mergeCell ref="C34:E34"/>
    <mergeCell ref="F34:G34"/>
    <mergeCell ref="D31:E31"/>
    <mergeCell ref="F31:G31"/>
    <mergeCell ref="I31:J31"/>
    <mergeCell ref="D32:E32"/>
    <mergeCell ref="F32:G32"/>
    <mergeCell ref="I32:J32"/>
    <mergeCell ref="B48:C48"/>
    <mergeCell ref="C51:F51"/>
    <mergeCell ref="H51:K51"/>
    <mergeCell ref="C39:K45"/>
    <mergeCell ref="C38:K38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9a79990-ee87-4241-abc6-9e01ab9b2464">
      <Terms xmlns="http://schemas.microsoft.com/office/infopath/2007/PartnerControls"/>
    </lcf76f155ced4ddcb4097134ff3c332f>
    <TaxCatchAll xmlns="8f4bf414-7d56-47ef-876f-a064b613912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388C4C5C67B1C40A7414AD25E2D3AE6" ma:contentTypeVersion="13" ma:contentTypeDescription="Crie um novo documento." ma:contentTypeScope="" ma:versionID="1b5178e88f018b74586964b6babab4f8">
  <xsd:schema xmlns:xsd="http://www.w3.org/2001/XMLSchema" xmlns:xs="http://www.w3.org/2001/XMLSchema" xmlns:p="http://schemas.microsoft.com/office/2006/metadata/properties" xmlns:ns2="29a79990-ee87-4241-abc6-9e01ab9b2464" xmlns:ns3="8f4bf414-7d56-47ef-876f-a064b6139123" targetNamespace="http://schemas.microsoft.com/office/2006/metadata/properties" ma:root="true" ma:fieldsID="266d05339a4efad8584a7b69e9357b72" ns2:_="" ns3:_="">
    <xsd:import namespace="29a79990-ee87-4241-abc6-9e01ab9b2464"/>
    <xsd:import namespace="8f4bf414-7d56-47ef-876f-a064b61391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a79990-ee87-4241-abc6-9e01ab9b24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15" nillable="true" ma:displayName="MediaServiceBillingMetadata" ma:hidden="true" ma:internalName="MediaServiceBillingMetadata" ma:readOnly="true">
      <xsd:simpleType>
        <xsd:restriction base="dms:Note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dd800daa-7c7e-4072-b01c-3023f6f7af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4bf414-7d56-47ef-876f-a064b6139123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689cacdc-4c80-4a01-81af-803e241e380a}" ma:internalName="TaxCatchAll" ma:showField="CatchAllData" ma:web="8f4bf414-7d56-47ef-876f-a064b613912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868ACD4F-02B1-4370-BFE2-EC36B7D19892}">
  <ds:schemaRefs>
    <ds:schemaRef ds:uri="http://schemas.microsoft.com/office/2006/metadata/properties"/>
    <ds:schemaRef ds:uri="http://schemas.microsoft.com/office/infopath/2007/PartnerControls"/>
    <ds:schemaRef ds:uri="7a991dad-45c2-4a9e-9fda-9c556ad46bbb"/>
    <ds:schemaRef ds:uri="e3d5a89f-10c1-48c7-b69d-72d2ad4a8504"/>
    <ds:schemaRef ds:uri="29a79990-ee87-4241-abc6-9e01ab9b2464"/>
    <ds:schemaRef ds:uri="8f4bf414-7d56-47ef-876f-a064b6139123"/>
  </ds:schemaRefs>
</ds:datastoreItem>
</file>

<file path=customXml/itemProps3.xml><?xml version="1.0" encoding="utf-8"?>
<ds:datastoreItem xmlns:ds="http://schemas.openxmlformats.org/officeDocument/2006/customXml" ds:itemID="{FBC7A38B-8603-4A42-AAAF-92D5D637F20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8E75524-C1B6-4E66-8D14-864EA00367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9a79990-ee87-4241-abc6-9e01ab9b2464"/>
    <ds:schemaRef ds:uri="8f4bf414-7d56-47ef-876f-a064b61391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15</vt:i4>
      </vt:variant>
    </vt:vector>
  </HeadingPairs>
  <TitlesOfParts>
    <vt:vector size="26" baseType="lpstr">
      <vt:lpstr>RESUMO</vt:lpstr>
      <vt:lpstr>Produção</vt:lpstr>
      <vt:lpstr>Oper. Extras Estandes - ND</vt:lpstr>
      <vt:lpstr>Opções de Estande - ND</vt:lpstr>
      <vt:lpstr>EXTRAS 1</vt:lpstr>
      <vt:lpstr>EXTRAS 2</vt:lpstr>
      <vt:lpstr>Extra DPA</vt:lpstr>
      <vt:lpstr>CUSTOS OP.</vt:lpstr>
      <vt:lpstr>TOTAL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Rafael QdS</dc:creator>
  <cp:lastModifiedBy>Bruno Silva</cp:lastModifiedBy>
  <cp:lastPrinted>2026-07-20T13:03:25Z</cp:lastPrinted>
  <dcterms:created xsi:type="dcterms:W3CDTF">2023-09-21T21:02:20Z</dcterms:created>
  <dcterms:modified xsi:type="dcterms:W3CDTF">2026-07-29T12:57:19Z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0x010100F388C4C5C67B1C40A7414AD25E2D3AE6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