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9.xml" ContentType="application/vnd.openxmlformats-officedocument.drawing+xml"/>
  <Override PartName="/xl/drawings/drawing10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OK\"/>
    </mc:Choice>
  </mc:AlternateContent>
  <xr:revisionPtr revIDLastSave="0" documentId="13_ncr:1_{E3A60B9B-90F6-45FB-A93A-FEB3CBA06D64}" xr6:coauthVersionLast="47" xr6:coauthVersionMax="47" xr10:uidLastSave="{00000000-0000-0000-0000-000000000000}"/>
  <bookViews>
    <workbookView xWindow="28692" yWindow="-108" windowWidth="29016" windowHeight="15696" tabRatio="828" xr2:uid="{83D4A4F0-59AC-45D6-BDA2-9A1B100CD857}"/>
  </bookViews>
  <sheets>
    <sheet name="RESUMO " sheetId="140" r:id="rId1"/>
    <sheet name="INTERNOS" sheetId="113" r:id="rId2"/>
    <sheet name="EVENTO" sheetId="134" r:id="rId3"/>
    <sheet name="Brindes" sheetId="139" r:id="rId4"/>
    <sheet name="Novotel" sheetId="136" r:id="rId5"/>
    <sheet name="TIVOLI" sheetId="97" state="hidden" r:id="rId6"/>
    <sheet name="GRAND MERCURE VILA OLIMPIA" sheetId="98" state="hidden" r:id="rId7"/>
    <sheet name="RENAISSANCE" sheetId="99" state="hidden" r:id="rId8"/>
    <sheet name="WTC SHERATON" sheetId="96" state="hidden" r:id="rId9"/>
    <sheet name="Novotel Reunião 13pax" sheetId="138" state="hidden" r:id="rId10"/>
    <sheet name="CUSTOS OPERACIONAIS" sheetId="141" r:id="rId11"/>
    <sheet name="TOTAL" sheetId="100" r:id="rId12"/>
    <sheet name="Solicitações de Pagamento" sheetId="4" state="hidden" r:id="rId13"/>
    <sheet name="Help" sheetId="61" state="hidden" r:id="rId14"/>
    <sheet name="ItensOrc" sheetId="76" state="hidden" r:id="rId15"/>
    <sheet name="Template SP" sheetId="3" state="hidden" r:id="rId16"/>
  </sheets>
  <definedNames>
    <definedName name="_xlnm._FilterDatabase" localSheetId="3" hidden="1">Brindes!$A$14:$AO$14</definedName>
    <definedName name="_xlnm._FilterDatabase" localSheetId="2" hidden="1">EVENTO!$A$14:$AO$14</definedName>
    <definedName name="_xlnm._FilterDatabase" localSheetId="6" hidden="1">'GRAND MERCURE VILA OLIMPIA'!$A$14:$AN$14</definedName>
    <definedName name="_xlnm._FilterDatabase" localSheetId="1" hidden="1">INTERNOS!$A$14:$AO$14</definedName>
    <definedName name="_xlnm._FilterDatabase" localSheetId="4" hidden="1">Novotel!$A$14:$AO$14</definedName>
    <definedName name="_xlnm._FilterDatabase" localSheetId="9" hidden="1">'Novotel Reunião 13pax'!$A$14:$AO$14</definedName>
    <definedName name="_xlnm._FilterDatabase" localSheetId="7" hidden="1">RENAISSANCE!$A$14:$AN$14</definedName>
    <definedName name="_xlnm._FilterDatabase" localSheetId="5" hidden="1">TIVOLI!$A$14:$AN$14</definedName>
    <definedName name="_xlnm._FilterDatabase" localSheetId="11" hidden="1">TOTAL!#REF!</definedName>
    <definedName name="_xlnm._FilterDatabase" localSheetId="8" hidden="1">'WTC SHERATON'!$A$14:$AN$14</definedName>
    <definedName name="_xleta.N" hidden="1" xlm="1">#NAME?</definedName>
    <definedName name="_xleta.SUM" hidden="1" xlm="1">#NAME?</definedName>
    <definedName name="itensorc_desconto" localSheetId="14">ItensOrc!$M:$M</definedName>
    <definedName name="itensorc_desconto">#REF!</definedName>
    <definedName name="itensorc_descricao" localSheetId="14">ItensOrc!$D:$D</definedName>
    <definedName name="itensorc_descricao">#REF!</definedName>
    <definedName name="itensorc_encargos" localSheetId="14">ItensOrc!$N:$N</definedName>
    <definedName name="itensorc_encargos">#REF!</definedName>
    <definedName name="itensorc_especifica" localSheetId="14">ItensOrc!$O:$O</definedName>
    <definedName name="itensorc_especifica">#REF!</definedName>
    <definedName name="itensorc_item" localSheetId="14">ItensOrc!$C:$C</definedName>
    <definedName name="itensorc_item">#REF!</definedName>
    <definedName name="itensorc_lancamento" localSheetId="14">ItensOrc!$B:$B</definedName>
    <definedName name="itensorc_lancamento">#REF!</definedName>
    <definedName name="itensorc_percentualhonorarios" localSheetId="14">ItensOrc!$L:$L</definedName>
    <definedName name="itensorc_percentualhonorarios">#REF!</definedName>
    <definedName name="itensorc_quantidade" localSheetId="14">ItensOrc!$E:$E</definedName>
    <definedName name="itensorc_quantidade">#REF!</definedName>
    <definedName name="itensorc_situacao" localSheetId="14">ItensOrc!$H:$H</definedName>
    <definedName name="itensorc_situacao">#REF!</definedName>
    <definedName name="itensorc_subtipo" localSheetId="14">ItensOrc!$K:$K</definedName>
    <definedName name="itensorc_subtipo">#REF!</definedName>
    <definedName name="itensorc_tiporeceita" localSheetId="14">ItensOrc!$A:$A</definedName>
    <definedName name="itensorc_tiporeceita">#REF!</definedName>
    <definedName name="itensorc_valor" localSheetId="14">ItensOrc!$G:$G</definedName>
    <definedName name="itensorc_valor">#REF!</definedName>
    <definedName name="itensorc_valorfornecedor" localSheetId="14">ItensOrc!$I:$I</definedName>
    <definedName name="itensorc_valorfornecedor">#REF!</definedName>
    <definedName name="itensorc_valorfornecedorunitario" localSheetId="14">ItensOrc!$J:$J</definedName>
    <definedName name="itensorc_valorfornecedorunitario">#REF!</definedName>
    <definedName name="itensorc_valorunitario" localSheetId="14">ItensOrc!$F:$F</definedName>
    <definedName name="itensorc_valorunitari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8" i="140" l="1"/>
  <c r="E48" i="140"/>
  <c r="C48" i="140"/>
  <c r="D48" i="140"/>
  <c r="D22" i="140"/>
  <c r="D24" i="140" s="1"/>
  <c r="D29" i="140" s="1"/>
  <c r="C22" i="140"/>
  <c r="C23" i="140"/>
  <c r="D35" i="140"/>
  <c r="E35" i="140" s="1"/>
  <c r="F35" i="140" s="1"/>
  <c r="D34" i="140"/>
  <c r="D33" i="140"/>
  <c r="E33" i="140" s="1"/>
  <c r="F33" i="140" s="1"/>
  <c r="D32" i="140"/>
  <c r="C36" i="140"/>
  <c r="F34" i="140"/>
  <c r="E34" i="140"/>
  <c r="E31" i="140"/>
  <c r="AC67" i="134"/>
  <c r="T67" i="134"/>
  <c r="A29" i="140"/>
  <c r="E32" i="140" l="1"/>
  <c r="F32" i="140" s="1"/>
  <c r="F31" i="140"/>
  <c r="C18" i="141"/>
  <c r="D21" i="140" l="1"/>
  <c r="C21" i="140"/>
  <c r="E21" i="140" s="1"/>
  <c r="C20" i="140"/>
  <c r="C19" i="140"/>
  <c r="AB48" i="136"/>
  <c r="AB47" i="136"/>
  <c r="AB46" i="136"/>
  <c r="AB32" i="139"/>
  <c r="AB31" i="139"/>
  <c r="AB30" i="139"/>
  <c r="T23" i="113"/>
  <c r="T24" i="113"/>
  <c r="AC43" i="134"/>
  <c r="AC22" i="134"/>
  <c r="AC44" i="134"/>
  <c r="AC58" i="134"/>
  <c r="AC20" i="134"/>
  <c r="AC21" i="136"/>
  <c r="AC27" i="134"/>
  <c r="AB38" i="134"/>
  <c r="AC17" i="139"/>
  <c r="AC24" i="139" s="1"/>
  <c r="AC25" i="138"/>
  <c r="AB25" i="138"/>
  <c r="AB18" i="138"/>
  <c r="AB19" i="138"/>
  <c r="AB20" i="138"/>
  <c r="AB21" i="138"/>
  <c r="AB22" i="138"/>
  <c r="AB23" i="138"/>
  <c r="AB17" i="138"/>
  <c r="AC41" i="136"/>
  <c r="AB34" i="136"/>
  <c r="AB35" i="136"/>
  <c r="AB18" i="139"/>
  <c r="AB19" i="139"/>
  <c r="AB22" i="139"/>
  <c r="AB18" i="113"/>
  <c r="AB19" i="113"/>
  <c r="AB20" i="113"/>
  <c r="AB21" i="113"/>
  <c r="AB22" i="113"/>
  <c r="AB17" i="113"/>
  <c r="E3" i="140"/>
  <c r="E19" i="140" l="1"/>
  <c r="C24" i="140"/>
  <c r="C38" i="140" s="1"/>
  <c r="E22" i="140"/>
  <c r="F22" i="140" s="1"/>
  <c r="E23" i="140"/>
  <c r="F23" i="140" s="1"/>
  <c r="F21" i="140"/>
  <c r="AC26" i="113"/>
  <c r="F19" i="140" l="1"/>
  <c r="AC69" i="134"/>
  <c r="AB23" i="134"/>
  <c r="AB25" i="134"/>
  <c r="AB26" i="134"/>
  <c r="AB33" i="134"/>
  <c r="AB34" i="134"/>
  <c r="AB35" i="134"/>
  <c r="AB37" i="134"/>
  <c r="AB39" i="134"/>
  <c r="AB40" i="134"/>
  <c r="AB42" i="134"/>
  <c r="AB44" i="134"/>
  <c r="AB45" i="134"/>
  <c r="AB47" i="134"/>
  <c r="AB48" i="134"/>
  <c r="AB49" i="134"/>
  <c r="AB51" i="134"/>
  <c r="AB56" i="134"/>
  <c r="AB57" i="134"/>
  <c r="AB58" i="134"/>
  <c r="AB60" i="134"/>
  <c r="AB62" i="134"/>
  <c r="AB63" i="134"/>
  <c r="AB64" i="134"/>
  <c r="AB65" i="134"/>
  <c r="AB66" i="134"/>
  <c r="V18" i="138"/>
  <c r="T17" i="138"/>
  <c r="S18" i="138" s="1"/>
  <c r="T18" i="138" s="1"/>
  <c r="V22" i="136"/>
  <c r="U18" i="138" l="1"/>
  <c r="Z18" i="138" s="1"/>
  <c r="W18" i="138"/>
  <c r="X18" i="138" s="1"/>
  <c r="J67" i="134" l="1"/>
  <c r="K19" i="138" l="1"/>
  <c r="K17" i="138"/>
  <c r="K36" i="136"/>
  <c r="K23" i="136"/>
  <c r="J30" i="136"/>
  <c r="J29" i="136"/>
  <c r="K29" i="136" s="1"/>
  <c r="J37" i="136"/>
  <c r="K37" i="136" s="1"/>
  <c r="J32" i="136"/>
  <c r="K28" i="136"/>
  <c r="L28" i="136" s="1"/>
  <c r="K27" i="136"/>
  <c r="L27" i="136" s="1"/>
  <c r="K25" i="136"/>
  <c r="V24" i="136"/>
  <c r="K24" i="136"/>
  <c r="L24" i="136" s="1"/>
  <c r="V18" i="136"/>
  <c r="K18" i="136"/>
  <c r="L18" i="136" s="1"/>
  <c r="V19" i="136"/>
  <c r="K19" i="136"/>
  <c r="V20" i="136"/>
  <c r="K20" i="136"/>
  <c r="K17" i="136"/>
  <c r="K21" i="136"/>
  <c r="L36" i="136" l="1"/>
  <c r="L23" i="136"/>
  <c r="U23" i="136"/>
  <c r="Z23" i="136" s="1"/>
  <c r="V23" i="136"/>
  <c r="U36" i="136"/>
  <c r="V36" i="136"/>
  <c r="W36" i="136" s="1"/>
  <c r="X36" i="136" s="1"/>
  <c r="AB36" i="136" s="1"/>
  <c r="V28" i="136"/>
  <c r="U27" i="136"/>
  <c r="Z27" i="136" s="1"/>
  <c r="V27" i="136"/>
  <c r="L25" i="136"/>
  <c r="U25" i="136"/>
  <c r="V25" i="136"/>
  <c r="U24" i="136"/>
  <c r="U19" i="136"/>
  <c r="Z19" i="136" s="1"/>
  <c r="U20" i="136"/>
  <c r="Z20" i="136" s="1"/>
  <c r="U18" i="136"/>
  <c r="Z18" i="136" s="1"/>
  <c r="L19" i="136"/>
  <c r="L20" i="136"/>
  <c r="Z36" i="136" l="1"/>
  <c r="W23" i="136"/>
  <c r="X23" i="136" s="1"/>
  <c r="AB23" i="136" s="1"/>
  <c r="W27" i="136"/>
  <c r="X27" i="136" s="1"/>
  <c r="AB27" i="136" s="1"/>
  <c r="U28" i="136"/>
  <c r="W19" i="136"/>
  <c r="X19" i="136" s="1"/>
  <c r="AB19" i="136" s="1"/>
  <c r="Z25" i="136"/>
  <c r="W25" i="136"/>
  <c r="X25" i="136" s="1"/>
  <c r="AB25" i="136" s="1"/>
  <c r="Z24" i="136"/>
  <c r="W24" i="136"/>
  <c r="X24" i="136" s="1"/>
  <c r="AB24" i="136" s="1"/>
  <c r="W20" i="136"/>
  <c r="X20" i="136" s="1"/>
  <c r="AB20" i="136" s="1"/>
  <c r="W18" i="136"/>
  <c r="X18" i="136" s="1"/>
  <c r="AB18" i="136" s="1"/>
  <c r="W28" i="136" l="1"/>
  <c r="X28" i="136" s="1"/>
  <c r="AB28" i="136" s="1"/>
  <c r="Z28" i="136"/>
  <c r="R22" i="139" l="1"/>
  <c r="Q22" i="139"/>
  <c r="V22" i="139" s="1"/>
  <c r="K22" i="139"/>
  <c r="K21" i="139"/>
  <c r="V21" i="139"/>
  <c r="V18" i="139"/>
  <c r="T18" i="139"/>
  <c r="K18" i="139"/>
  <c r="T22" i="139" l="1"/>
  <c r="U22" i="139" s="1"/>
  <c r="Z22" i="139" s="1"/>
  <c r="L22" i="139"/>
  <c r="U21" i="139"/>
  <c r="Z21" i="139" s="1"/>
  <c r="L21" i="139"/>
  <c r="U18" i="139"/>
  <c r="Z18" i="139" s="1"/>
  <c r="L18" i="139"/>
  <c r="R20" i="139"/>
  <c r="K20" i="139"/>
  <c r="W22" i="139" l="1"/>
  <c r="X22" i="139" s="1"/>
  <c r="W21" i="139"/>
  <c r="X21" i="139" s="1"/>
  <c r="AB21" i="139" s="1"/>
  <c r="W18" i="139"/>
  <c r="X18" i="139" s="1"/>
  <c r="V20" i="139"/>
  <c r="L20" i="139"/>
  <c r="U20" i="139" l="1"/>
  <c r="Z20" i="139" s="1"/>
  <c r="W20" i="139" l="1"/>
  <c r="X20" i="139" s="1"/>
  <c r="AB20" i="139" s="1"/>
  <c r="V19" i="139"/>
  <c r="T19" i="139"/>
  <c r="K19" i="139"/>
  <c r="R30" i="134"/>
  <c r="Q30" i="134"/>
  <c r="K30" i="134"/>
  <c r="L30" i="134" s="1"/>
  <c r="U19" i="139" l="1"/>
  <c r="L19" i="139"/>
  <c r="V30" i="134"/>
  <c r="R17" i="139"/>
  <c r="Q17" i="139"/>
  <c r="K17" i="139"/>
  <c r="K23" i="139" l="1"/>
  <c r="K24" i="139"/>
  <c r="Z19" i="139"/>
  <c r="U30" i="134"/>
  <c r="W19" i="139"/>
  <c r="X19" i="139" s="1"/>
  <c r="W30" i="134"/>
  <c r="X30" i="134" s="1"/>
  <c r="AB30" i="134" s="1"/>
  <c r="L17" i="139"/>
  <c r="V17" i="139"/>
  <c r="T23" i="139" l="1"/>
  <c r="T24" i="139"/>
  <c r="L23" i="139"/>
  <c r="L24" i="139"/>
  <c r="U17" i="139"/>
  <c r="Z30" i="134"/>
  <c r="W17" i="139" l="1"/>
  <c r="X17" i="139" s="1"/>
  <c r="AB17" i="139" s="1"/>
  <c r="AB24" i="139" s="1"/>
  <c r="U24" i="139"/>
  <c r="U23" i="139"/>
  <c r="AA20" i="139"/>
  <c r="AA19" i="139"/>
  <c r="AA17" i="139"/>
  <c r="Z17" i="139"/>
  <c r="Q16" i="139"/>
  <c r="Q15" i="139"/>
  <c r="M14" i="139"/>
  <c r="M22" i="139" s="1"/>
  <c r="M10" i="139"/>
  <c r="K59" i="134"/>
  <c r="R59" i="134"/>
  <c r="Q59" i="134"/>
  <c r="V59" i="134" s="1"/>
  <c r="N22" i="139" l="1"/>
  <c r="Y22" i="139"/>
  <c r="X23" i="139"/>
  <c r="X24" i="139"/>
  <c r="L59" i="134"/>
  <c r="M18" i="139"/>
  <c r="Y18" i="139" s="1"/>
  <c r="M21" i="139"/>
  <c r="N18" i="139"/>
  <c r="M17" i="139"/>
  <c r="M20" i="139"/>
  <c r="M19" i="139"/>
  <c r="Z12" i="139"/>
  <c r="Y17" i="139" l="1"/>
  <c r="M23" i="139"/>
  <c r="M24" i="139"/>
  <c r="N17" i="139"/>
  <c r="U59" i="134"/>
  <c r="Z59" i="134" s="1"/>
  <c r="N21" i="139"/>
  <c r="Y21" i="139"/>
  <c r="N19" i="139"/>
  <c r="Y19" i="139"/>
  <c r="N20" i="139"/>
  <c r="Y20" i="139"/>
  <c r="Y23" i="139"/>
  <c r="Y24" i="139" l="1"/>
  <c r="C20" i="100" s="1"/>
  <c r="N24" i="139"/>
  <c r="B20" i="100" s="1"/>
  <c r="N23" i="139"/>
  <c r="W59" i="134"/>
  <c r="X59" i="134" s="1"/>
  <c r="AB59" i="134" s="1"/>
  <c r="Z24" i="139" l="1"/>
  <c r="AA24" i="139" s="1"/>
  <c r="D20" i="100"/>
  <c r="E20" i="100" s="1"/>
  <c r="K58" i="134"/>
  <c r="R58" i="134"/>
  <c r="Q58" i="134"/>
  <c r="Q57" i="134"/>
  <c r="Q56" i="134"/>
  <c r="T58" i="134" l="1"/>
  <c r="L58" i="134"/>
  <c r="V58" i="134"/>
  <c r="U58" i="134" l="1"/>
  <c r="W58" i="134" l="1"/>
  <c r="X58" i="134" s="1"/>
  <c r="Z58" i="134"/>
  <c r="Q31" i="134"/>
  <c r="K31" i="134"/>
  <c r="R40" i="134"/>
  <c r="Q40" i="134"/>
  <c r="K40" i="134"/>
  <c r="R39" i="134"/>
  <c r="Q39" i="134"/>
  <c r="K39" i="134"/>
  <c r="L31" i="134" l="1"/>
  <c r="T40" i="134"/>
  <c r="U40" i="134" s="1"/>
  <c r="T39" i="134"/>
  <c r="U39" i="134" s="1"/>
  <c r="V39" i="134"/>
  <c r="V31" i="134"/>
  <c r="V40" i="134"/>
  <c r="L40" i="134"/>
  <c r="L39" i="134"/>
  <c r="U31" i="134" l="1"/>
  <c r="Z40" i="134"/>
  <c r="W40" i="134"/>
  <c r="X40" i="134" s="1"/>
  <c r="Z39" i="134"/>
  <c r="W39" i="134"/>
  <c r="X39" i="134" s="1"/>
  <c r="Z31" i="134" l="1"/>
  <c r="W31" i="134"/>
  <c r="X31" i="134" s="1"/>
  <c r="AB31" i="134" s="1"/>
  <c r="V22" i="138" l="1"/>
  <c r="K22" i="138"/>
  <c r="V23" i="138"/>
  <c r="T23" i="138"/>
  <c r="K23" i="138"/>
  <c r="K21" i="138"/>
  <c r="V20" i="138"/>
  <c r="K20" i="138"/>
  <c r="L17" i="138"/>
  <c r="Q16" i="138"/>
  <c r="Q15" i="138"/>
  <c r="M14" i="138"/>
  <c r="M10" i="138"/>
  <c r="K25" i="138" l="1"/>
  <c r="K24" i="138"/>
  <c r="Z12" i="138"/>
  <c r="L21" i="138"/>
  <c r="M21" i="138" s="1"/>
  <c r="L22" i="138"/>
  <c r="M22" i="138"/>
  <c r="T19" i="138"/>
  <c r="T20" i="138"/>
  <c r="V19" i="138"/>
  <c r="M17" i="138"/>
  <c r="T21" i="138"/>
  <c r="V21" i="138"/>
  <c r="L19" i="138"/>
  <c r="L25" i="138" s="1"/>
  <c r="L23" i="138"/>
  <c r="V17" i="138"/>
  <c r="L20" i="138"/>
  <c r="M20" i="138" s="1"/>
  <c r="N20" i="138" s="1"/>
  <c r="U19" i="138" l="1"/>
  <c r="Z19" i="138" s="1"/>
  <c r="L24" i="138"/>
  <c r="Y18" i="138"/>
  <c r="N21" i="138"/>
  <c r="U20" i="138"/>
  <c r="Z20" i="138" s="1"/>
  <c r="N22" i="138"/>
  <c r="N17" i="138"/>
  <c r="W19" i="138"/>
  <c r="X19" i="138" s="1"/>
  <c r="M23" i="138"/>
  <c r="N23" i="138" s="1"/>
  <c r="T22" i="138"/>
  <c r="U22" i="138" s="1"/>
  <c r="W22" i="138" s="1"/>
  <c r="X22" i="138" s="1"/>
  <c r="U17" i="138"/>
  <c r="M19" i="138"/>
  <c r="M24" i="138" s="1"/>
  <c r="U21" i="138"/>
  <c r="T24" i="138" l="1"/>
  <c r="T25" i="138"/>
  <c r="M25" i="138"/>
  <c r="AA18" i="138"/>
  <c r="Z22" i="138"/>
  <c r="Z21" i="138"/>
  <c r="W20" i="138"/>
  <c r="X20" i="138" s="1"/>
  <c r="Y20" i="138" s="1"/>
  <c r="AA22" i="138"/>
  <c r="Y22" i="138"/>
  <c r="Y19" i="138"/>
  <c r="N19" i="138"/>
  <c r="N25" i="138" s="1"/>
  <c r="W21" i="138"/>
  <c r="X21" i="138" s="1"/>
  <c r="U23" i="138"/>
  <c r="U25" i="138" s="1"/>
  <c r="W17" i="138"/>
  <c r="X17" i="138" s="1"/>
  <c r="Z17" i="138"/>
  <c r="S18" i="134"/>
  <c r="K39" i="136"/>
  <c r="L39" i="136" s="1"/>
  <c r="V41" i="134"/>
  <c r="K41" i="134"/>
  <c r="R41" i="134"/>
  <c r="N24" i="138" l="1"/>
  <c r="U24" i="138"/>
  <c r="B26" i="100"/>
  <c r="Y21" i="138"/>
  <c r="AA23" i="138"/>
  <c r="Y17" i="138"/>
  <c r="Z23" i="138"/>
  <c r="W23" i="138"/>
  <c r="X23" i="138" s="1"/>
  <c r="X25" i="138" s="1"/>
  <c r="AA19" i="138"/>
  <c r="AA20" i="138"/>
  <c r="AA21" i="138"/>
  <c r="AA17" i="138"/>
  <c r="V39" i="136"/>
  <c r="U41" i="134"/>
  <c r="L41" i="134"/>
  <c r="X24" i="138" l="1"/>
  <c r="Y23" i="138"/>
  <c r="Y25" i="138" s="1"/>
  <c r="Y24" i="138"/>
  <c r="U39" i="136"/>
  <c r="Z39" i="136" s="1"/>
  <c r="W41" i="134"/>
  <c r="X41" i="134" s="1"/>
  <c r="AB41" i="134" s="1"/>
  <c r="Z41" i="134"/>
  <c r="C26" i="100" l="1"/>
  <c r="D26" i="100" s="1"/>
  <c r="E26" i="100" s="1"/>
  <c r="W39" i="136"/>
  <c r="X39" i="136" s="1"/>
  <c r="AB39" i="136" s="1"/>
  <c r="Z25" i="138" l="1"/>
  <c r="AA25" i="138" s="1"/>
  <c r="K30" i="136"/>
  <c r="L30" i="136" l="1"/>
  <c r="U30" i="136"/>
  <c r="V30" i="136"/>
  <c r="K20" i="134"/>
  <c r="R20" i="134"/>
  <c r="Q20" i="134"/>
  <c r="S19" i="134"/>
  <c r="U20" i="134" l="1"/>
  <c r="Z30" i="136"/>
  <c r="W30" i="136"/>
  <c r="X30" i="136" s="1"/>
  <c r="AB30" i="136" s="1"/>
  <c r="L20" i="134"/>
  <c r="V20" i="134"/>
  <c r="R45" i="134"/>
  <c r="Q45" i="134"/>
  <c r="K45" i="134"/>
  <c r="L45" i="134" s="1"/>
  <c r="R44" i="134"/>
  <c r="Q44" i="134"/>
  <c r="K44" i="134"/>
  <c r="L44" i="134" s="1"/>
  <c r="R66" i="134"/>
  <c r="Q66" i="134"/>
  <c r="K66" i="134"/>
  <c r="K63" i="134"/>
  <c r="R64" i="134"/>
  <c r="Q64" i="134"/>
  <c r="V64" i="134" s="1"/>
  <c r="K64" i="134"/>
  <c r="Z20" i="134" l="1"/>
  <c r="L66" i="134"/>
  <c r="L63" i="134"/>
  <c r="W20" i="134"/>
  <c r="X20" i="134" s="1"/>
  <c r="AB20" i="134" s="1"/>
  <c r="T45" i="134"/>
  <c r="V45" i="134"/>
  <c r="T44" i="134"/>
  <c r="V44" i="134"/>
  <c r="V66" i="134"/>
  <c r="T66" i="134"/>
  <c r="U66" i="134" s="1"/>
  <c r="L64" i="134"/>
  <c r="T64" i="134"/>
  <c r="U64" i="134" s="1"/>
  <c r="Z66" i="134" l="1"/>
  <c r="Z64" i="134"/>
  <c r="U44" i="134"/>
  <c r="Z44" i="134" s="1"/>
  <c r="U45" i="134"/>
  <c r="Z45" i="134" s="1"/>
  <c r="W66" i="134"/>
  <c r="X66" i="134" s="1"/>
  <c r="W64" i="134"/>
  <c r="X64" i="134" s="1"/>
  <c r="W44" i="134" l="1"/>
  <c r="X44" i="134" s="1"/>
  <c r="W45" i="134"/>
  <c r="X45" i="134" s="1"/>
  <c r="R22" i="113" l="1"/>
  <c r="Q22" i="113"/>
  <c r="K22" i="113"/>
  <c r="L22" i="113" s="1"/>
  <c r="T22" i="113" l="1"/>
  <c r="V22" i="113"/>
  <c r="K38" i="134"/>
  <c r="L38" i="134" s="1"/>
  <c r="R38" i="134"/>
  <c r="Q38" i="134"/>
  <c r="U22" i="113" l="1"/>
  <c r="T38" i="134"/>
  <c r="V38" i="134"/>
  <c r="R21" i="134"/>
  <c r="Q21" i="134"/>
  <c r="K21" i="134"/>
  <c r="J54" i="134"/>
  <c r="L21" i="134" l="1"/>
  <c r="Z22" i="113"/>
  <c r="W22" i="113"/>
  <c r="X22" i="113" s="1"/>
  <c r="U38" i="134"/>
  <c r="Z38" i="134" s="1"/>
  <c r="V21" i="134"/>
  <c r="Q37" i="134"/>
  <c r="K37" i="134"/>
  <c r="R36" i="134"/>
  <c r="Q36" i="134"/>
  <c r="K36" i="134"/>
  <c r="L36" i="134" s="1"/>
  <c r="K29" i="134"/>
  <c r="L29" i="134" s="1"/>
  <c r="K28" i="134"/>
  <c r="K27" i="134"/>
  <c r="K32" i="134" s="1"/>
  <c r="R28" i="134"/>
  <c r="Q28" i="134"/>
  <c r="R29" i="134"/>
  <c r="Q29" i="134"/>
  <c r="R27" i="134"/>
  <c r="Q27" i="134"/>
  <c r="U21" i="134" l="1"/>
  <c r="L27" i="134"/>
  <c r="L32" i="134" s="1"/>
  <c r="W38" i="134"/>
  <c r="X38" i="134" s="1"/>
  <c r="L37" i="134"/>
  <c r="T37" i="134"/>
  <c r="V37" i="134"/>
  <c r="U36" i="134"/>
  <c r="Z36" i="134" s="1"/>
  <c r="V36" i="134"/>
  <c r="L28" i="134"/>
  <c r="U28" i="134"/>
  <c r="V28" i="134"/>
  <c r="V29" i="134"/>
  <c r="T32" i="134"/>
  <c r="V27" i="134"/>
  <c r="Z21" i="134" l="1"/>
  <c r="W21" i="134"/>
  <c r="X21" i="134" s="1"/>
  <c r="AB21" i="134" s="1"/>
  <c r="U29" i="134"/>
  <c r="U37" i="134"/>
  <c r="W37" i="134" s="1"/>
  <c r="X37" i="134" s="1"/>
  <c r="W36" i="134"/>
  <c r="X36" i="134" s="1"/>
  <c r="AB36" i="134" s="1"/>
  <c r="Z28" i="134"/>
  <c r="W28" i="134"/>
  <c r="X28" i="134" s="1"/>
  <c r="AB28" i="134" s="1"/>
  <c r="U27" i="134"/>
  <c r="U32" i="134" l="1"/>
  <c r="Z29" i="134"/>
  <c r="W29" i="134"/>
  <c r="X29" i="134" s="1"/>
  <c r="AB29" i="134" s="1"/>
  <c r="Z37" i="134"/>
  <c r="Z27" i="134"/>
  <c r="W27" i="134"/>
  <c r="X27" i="134" s="1"/>
  <c r="AB27" i="134" s="1"/>
  <c r="X32" i="134" l="1"/>
  <c r="R19" i="134"/>
  <c r="Q19" i="134"/>
  <c r="K19" i="134"/>
  <c r="U19" i="134" l="1"/>
  <c r="Z19" i="134" s="1"/>
  <c r="V19" i="134"/>
  <c r="L19" i="134"/>
  <c r="R18" i="134"/>
  <c r="Q18" i="134"/>
  <c r="K18" i="134"/>
  <c r="R22" i="134"/>
  <c r="Q22" i="134"/>
  <c r="K22" i="134"/>
  <c r="R23" i="134"/>
  <c r="Q23" i="134"/>
  <c r="K23" i="134"/>
  <c r="L22" i="134" l="1"/>
  <c r="L18" i="134"/>
  <c r="W19" i="134"/>
  <c r="X19" i="134" s="1"/>
  <c r="AB19" i="134" s="1"/>
  <c r="V18" i="134"/>
  <c r="V22" i="134"/>
  <c r="L23" i="134"/>
  <c r="T23" i="134"/>
  <c r="V23" i="134"/>
  <c r="U23" i="134" l="1"/>
  <c r="U18" i="134"/>
  <c r="U22" i="134"/>
  <c r="Z23" i="134" l="1"/>
  <c r="W23" i="134"/>
  <c r="X23" i="134" s="1"/>
  <c r="W18" i="134"/>
  <c r="X18" i="134" s="1"/>
  <c r="AB18" i="134" s="1"/>
  <c r="Z18" i="134"/>
  <c r="Z22" i="134"/>
  <c r="W22" i="134"/>
  <c r="X22" i="134" s="1"/>
  <c r="AB22" i="134" s="1"/>
  <c r="R53" i="134" l="1"/>
  <c r="Q53" i="134"/>
  <c r="K53" i="134"/>
  <c r="L53" i="134" s="1"/>
  <c r="K54" i="134"/>
  <c r="M14" i="136"/>
  <c r="M14" i="134"/>
  <c r="Q35" i="134"/>
  <c r="K35" i="134"/>
  <c r="M59" i="134" l="1"/>
  <c r="N59" i="134" s="1"/>
  <c r="M30" i="134"/>
  <c r="M30" i="136"/>
  <c r="N30" i="136" s="1"/>
  <c r="M36" i="136"/>
  <c r="M23" i="136"/>
  <c r="M27" i="136"/>
  <c r="Y27" i="136" s="1"/>
  <c r="M28" i="136"/>
  <c r="M24" i="136"/>
  <c r="N24" i="136" s="1"/>
  <c r="M25" i="136"/>
  <c r="M19" i="136"/>
  <c r="N19" i="136" s="1"/>
  <c r="M18" i="136"/>
  <c r="M20" i="136"/>
  <c r="M58" i="134"/>
  <c r="M31" i="134"/>
  <c r="M40" i="134"/>
  <c r="M39" i="134"/>
  <c r="M39" i="136"/>
  <c r="N39" i="136" s="1"/>
  <c r="M41" i="134"/>
  <c r="N41" i="134" s="1"/>
  <c r="M20" i="134"/>
  <c r="M44" i="134"/>
  <c r="Y44" i="134" s="1"/>
  <c r="M45" i="134"/>
  <c r="M63" i="134"/>
  <c r="M66" i="134"/>
  <c r="M38" i="134"/>
  <c r="N38" i="134" s="1"/>
  <c r="M64" i="134"/>
  <c r="M37" i="134"/>
  <c r="M21" i="134"/>
  <c r="M36" i="134"/>
  <c r="N36" i="134" s="1"/>
  <c r="M29" i="134"/>
  <c r="M28" i="134"/>
  <c r="M27" i="134"/>
  <c r="M18" i="134"/>
  <c r="M19" i="134"/>
  <c r="M23" i="134"/>
  <c r="Y23" i="134" s="1"/>
  <c r="M22" i="134"/>
  <c r="M53" i="134"/>
  <c r="N53" i="134" s="1"/>
  <c r="V53" i="134"/>
  <c r="L54" i="134"/>
  <c r="T35" i="134"/>
  <c r="V54" i="134"/>
  <c r="V35" i="134"/>
  <c r="L35" i="134"/>
  <c r="Y59" i="134" l="1"/>
  <c r="N30" i="134"/>
  <c r="Y30" i="134"/>
  <c r="M32" i="134"/>
  <c r="Y36" i="136"/>
  <c r="N36" i="136"/>
  <c r="Y23" i="136"/>
  <c r="N23" i="136"/>
  <c r="Y24" i="136"/>
  <c r="N27" i="136"/>
  <c r="N28" i="136"/>
  <c r="Y28" i="136"/>
  <c r="Y19" i="136"/>
  <c r="N25" i="136"/>
  <c r="Y25" i="136"/>
  <c r="N18" i="136"/>
  <c r="Y18" i="136"/>
  <c r="N20" i="136"/>
  <c r="Y20" i="136"/>
  <c r="M54" i="134"/>
  <c r="Y37" i="134"/>
  <c r="N31" i="134"/>
  <c r="Y31" i="134"/>
  <c r="N58" i="134"/>
  <c r="Y58" i="134"/>
  <c r="U53" i="134"/>
  <c r="Z53" i="134" s="1"/>
  <c r="U54" i="134"/>
  <c r="N40" i="134"/>
  <c r="Y40" i="134"/>
  <c r="N39" i="134"/>
  <c r="Y39" i="134"/>
  <c r="Y39" i="136"/>
  <c r="Y41" i="134"/>
  <c r="Y30" i="136"/>
  <c r="N63" i="134"/>
  <c r="N20" i="134"/>
  <c r="Y20" i="134"/>
  <c r="U35" i="134"/>
  <c r="N44" i="134"/>
  <c r="N45" i="134"/>
  <c r="Y45" i="134"/>
  <c r="N66" i="134"/>
  <c r="Y66" i="134"/>
  <c r="N37" i="134"/>
  <c r="Y29" i="134"/>
  <c r="N27" i="134"/>
  <c r="N32" i="134" s="1"/>
  <c r="Y38" i="134"/>
  <c r="N64" i="134"/>
  <c r="Y64" i="134"/>
  <c r="N18" i="134"/>
  <c r="N21" i="134"/>
  <c r="Y21" i="134"/>
  <c r="Y36" i="134"/>
  <c r="N29" i="134"/>
  <c r="N28" i="134"/>
  <c r="Y28" i="134"/>
  <c r="Y27" i="134"/>
  <c r="Y19" i="134"/>
  <c r="N19" i="134"/>
  <c r="Y18" i="134"/>
  <c r="N23" i="134"/>
  <c r="N22" i="134"/>
  <c r="Y22" i="134"/>
  <c r="M35" i="134"/>
  <c r="N54" i="134" l="1"/>
  <c r="W54" i="134"/>
  <c r="X54" i="134" s="1"/>
  <c r="AB54" i="134" s="1"/>
  <c r="W35" i="134"/>
  <c r="X35" i="134" s="1"/>
  <c r="Z54" i="134"/>
  <c r="W53" i="134"/>
  <c r="X53" i="134" s="1"/>
  <c r="Z35" i="134"/>
  <c r="N35" i="134"/>
  <c r="K38" i="136"/>
  <c r="K40" i="136" s="1"/>
  <c r="V38" i="136"/>
  <c r="Q35" i="136"/>
  <c r="Q34" i="136"/>
  <c r="Y53" i="134" l="1"/>
  <c r="AB53" i="134"/>
  <c r="Y54" i="134"/>
  <c r="Y35" i="134"/>
  <c r="L37" i="136"/>
  <c r="U38" i="136"/>
  <c r="Z38" i="136" s="1"/>
  <c r="L38" i="136"/>
  <c r="T40" i="136"/>
  <c r="V37" i="136"/>
  <c r="Q43" i="134"/>
  <c r="K43" i="134"/>
  <c r="L40" i="136" l="1"/>
  <c r="AA39" i="136"/>
  <c r="L43" i="134"/>
  <c r="M43" i="134" s="1"/>
  <c r="M37" i="136"/>
  <c r="U37" i="136"/>
  <c r="U40" i="136" s="1"/>
  <c r="W38" i="136"/>
  <c r="X38" i="136" s="1"/>
  <c r="AB38" i="136" s="1"/>
  <c r="M38" i="136"/>
  <c r="V43" i="134"/>
  <c r="M40" i="136" l="1"/>
  <c r="N43" i="134"/>
  <c r="N37" i="136"/>
  <c r="W37" i="136"/>
  <c r="X37" i="136" s="1"/>
  <c r="U43" i="134"/>
  <c r="Z37" i="136"/>
  <c r="N38" i="136"/>
  <c r="Y38" i="136"/>
  <c r="AA38" i="136"/>
  <c r="AA37" i="136"/>
  <c r="X40" i="136" l="1"/>
  <c r="Y40" i="136" s="1"/>
  <c r="AB37" i="136"/>
  <c r="N40" i="136"/>
  <c r="Z43" i="134"/>
  <c r="Y37" i="136"/>
  <c r="W43" i="134"/>
  <c r="X43" i="134" s="1"/>
  <c r="AB43" i="134" s="1"/>
  <c r="Y43" i="134" l="1"/>
  <c r="V32" i="136"/>
  <c r="K32" i="136"/>
  <c r="K31" i="136"/>
  <c r="K26" i="136"/>
  <c r="V21" i="136"/>
  <c r="V17" i="136"/>
  <c r="Q16" i="136"/>
  <c r="Q15" i="136"/>
  <c r="Z12" i="136"/>
  <c r="M10" i="136"/>
  <c r="K41" i="136" l="1"/>
  <c r="K33" i="136"/>
  <c r="S22" i="136"/>
  <c r="L17" i="136"/>
  <c r="L21" i="136"/>
  <c r="M21" i="136" s="1"/>
  <c r="L29" i="136"/>
  <c r="V31" i="136"/>
  <c r="L31" i="136"/>
  <c r="L32" i="136"/>
  <c r="V26" i="136"/>
  <c r="U29" i="136"/>
  <c r="L26" i="136"/>
  <c r="V29" i="136"/>
  <c r="R65" i="134"/>
  <c r="Q65" i="134"/>
  <c r="V65" i="134" s="1"/>
  <c r="K65" i="134"/>
  <c r="K68" i="134" s="1"/>
  <c r="Q49" i="134"/>
  <c r="V49" i="134" s="1"/>
  <c r="K49" i="134"/>
  <c r="R48" i="134"/>
  <c r="Q48" i="134"/>
  <c r="V48" i="134" s="1"/>
  <c r="K48" i="134"/>
  <c r="V47" i="134"/>
  <c r="K47" i="134"/>
  <c r="R46" i="134"/>
  <c r="Q46" i="134"/>
  <c r="V46" i="134" s="1"/>
  <c r="K46" i="134"/>
  <c r="Q42" i="134"/>
  <c r="V42" i="134" s="1"/>
  <c r="K42" i="134"/>
  <c r="K50" i="134" s="1"/>
  <c r="Q67" i="134"/>
  <c r="V67" i="134" s="1"/>
  <c r="K67" i="134"/>
  <c r="R63" i="134"/>
  <c r="Q63" i="134"/>
  <c r="Q62" i="134"/>
  <c r="R60" i="134"/>
  <c r="Q60" i="134"/>
  <c r="K60" i="134"/>
  <c r="K61" i="134" s="1"/>
  <c r="R52" i="134"/>
  <c r="Q52" i="134"/>
  <c r="K52" i="134"/>
  <c r="K55" i="134" s="1"/>
  <c r="Q51" i="134"/>
  <c r="Q34" i="134"/>
  <c r="Q33" i="134"/>
  <c r="Q26" i="134"/>
  <c r="Q25" i="134"/>
  <c r="R17" i="134"/>
  <c r="Q17" i="134"/>
  <c r="K17" i="134"/>
  <c r="Q16" i="134"/>
  <c r="Q15" i="134"/>
  <c r="Z12" i="134"/>
  <c r="M10" i="134"/>
  <c r="Q20" i="113"/>
  <c r="Q21" i="113"/>
  <c r="K20" i="113"/>
  <c r="R19" i="113"/>
  <c r="Q19" i="113"/>
  <c r="V19" i="113" s="1"/>
  <c r="K19" i="113"/>
  <c r="U22" i="136" l="1"/>
  <c r="L33" i="136"/>
  <c r="L41" i="136"/>
  <c r="K69" i="134"/>
  <c r="K24" i="134"/>
  <c r="M31" i="136"/>
  <c r="N31" i="136" s="1"/>
  <c r="U26" i="136"/>
  <c r="Z26" i="136" s="1"/>
  <c r="AA36" i="136"/>
  <c r="M32" i="136"/>
  <c r="L19" i="113"/>
  <c r="L65" i="134"/>
  <c r="L68" i="134" s="1"/>
  <c r="M17" i="136"/>
  <c r="L52" i="134"/>
  <c r="L55" i="134" s="1"/>
  <c r="T33" i="136"/>
  <c r="AA22" i="136" s="1"/>
  <c r="Z29" i="136"/>
  <c r="U17" i="136"/>
  <c r="U21" i="136"/>
  <c r="Z21" i="136" s="1"/>
  <c r="W29" i="136"/>
  <c r="X29" i="136" s="1"/>
  <c r="AB29" i="136" s="1"/>
  <c r="N21" i="136"/>
  <c r="M26" i="136"/>
  <c r="U31" i="136"/>
  <c r="Z31" i="136" s="1"/>
  <c r="M29" i="136"/>
  <c r="T48" i="134"/>
  <c r="U48" i="134" s="1"/>
  <c r="T65" i="134"/>
  <c r="U65" i="134" s="1"/>
  <c r="Z65" i="134" s="1"/>
  <c r="L46" i="134"/>
  <c r="M46" i="134" s="1"/>
  <c r="L48" i="134"/>
  <c r="L42" i="134"/>
  <c r="L47" i="134"/>
  <c r="M47" i="134" s="1"/>
  <c r="N47" i="134" s="1"/>
  <c r="L49" i="134"/>
  <c r="M49" i="134" s="1"/>
  <c r="N49" i="134" s="1"/>
  <c r="T42" i="134"/>
  <c r="T47" i="134"/>
  <c r="T49" i="134"/>
  <c r="V60" i="134"/>
  <c r="T60" i="134"/>
  <c r="T61" i="134" s="1"/>
  <c r="V63" i="134"/>
  <c r="L60" i="134"/>
  <c r="L61" i="134" s="1"/>
  <c r="L17" i="134"/>
  <c r="T63" i="134"/>
  <c r="L67" i="134"/>
  <c r="V17" i="134"/>
  <c r="V52" i="134"/>
  <c r="T55" i="134"/>
  <c r="L20" i="113"/>
  <c r="T20" i="113"/>
  <c r="V20" i="113"/>
  <c r="T19" i="113"/>
  <c r="M33" i="136" l="1"/>
  <c r="M41" i="136"/>
  <c r="Z22" i="136"/>
  <c r="W22" i="136"/>
  <c r="X22" i="136" s="1"/>
  <c r="T41" i="136"/>
  <c r="L50" i="134"/>
  <c r="T24" i="134"/>
  <c r="AA41" i="134" s="1"/>
  <c r="T69" i="134"/>
  <c r="T68" i="134"/>
  <c r="T50" i="134"/>
  <c r="L69" i="134"/>
  <c r="L24" i="134"/>
  <c r="W26" i="136"/>
  <c r="X26" i="136" s="1"/>
  <c r="AA23" i="136"/>
  <c r="N32" i="136"/>
  <c r="AA52" i="134"/>
  <c r="U67" i="134"/>
  <c r="M67" i="134"/>
  <c r="M52" i="134"/>
  <c r="M55" i="134" s="1"/>
  <c r="M65" i="134"/>
  <c r="M68" i="134" s="1"/>
  <c r="AA28" i="134"/>
  <c r="U60" i="134"/>
  <c r="U61" i="134" s="1"/>
  <c r="Z48" i="134"/>
  <c r="U49" i="134"/>
  <c r="U46" i="134"/>
  <c r="Z46" i="134" s="1"/>
  <c r="U47" i="134"/>
  <c r="Z47" i="134" s="1"/>
  <c r="Z17" i="136"/>
  <c r="N17" i="136"/>
  <c r="U32" i="136"/>
  <c r="U33" i="136" s="1"/>
  <c r="W17" i="136"/>
  <c r="X17" i="136" s="1"/>
  <c r="AB17" i="136" s="1"/>
  <c r="W21" i="136"/>
  <c r="X21" i="136" s="1"/>
  <c r="W31" i="136"/>
  <c r="X31" i="136" s="1"/>
  <c r="N26" i="136"/>
  <c r="N29" i="136"/>
  <c r="Y29" i="136"/>
  <c r="W65" i="134"/>
  <c r="X65" i="134" s="1"/>
  <c r="U63" i="134"/>
  <c r="M42" i="134"/>
  <c r="U42" i="134"/>
  <c r="N46" i="134"/>
  <c r="M48" i="134"/>
  <c r="W48" i="134"/>
  <c r="X48" i="134" s="1"/>
  <c r="M17" i="134"/>
  <c r="U52" i="134"/>
  <c r="U55" i="134" s="1"/>
  <c r="U17" i="134"/>
  <c r="M60" i="134"/>
  <c r="M61" i="134" s="1"/>
  <c r="U20" i="113"/>
  <c r="U19" i="113"/>
  <c r="U41" i="136" l="1"/>
  <c r="Y31" i="136"/>
  <c r="AB31" i="136"/>
  <c r="Y26" i="136"/>
  <c r="AB26" i="136"/>
  <c r="AA20" i="134"/>
  <c r="Y21" i="136"/>
  <c r="AB21" i="136"/>
  <c r="Y22" i="136"/>
  <c r="AB22" i="136"/>
  <c r="N33" i="136"/>
  <c r="N41" i="136"/>
  <c r="U24" i="134"/>
  <c r="U69" i="134"/>
  <c r="M24" i="134"/>
  <c r="M69" i="134"/>
  <c r="U50" i="134"/>
  <c r="M50" i="134"/>
  <c r="U68" i="134"/>
  <c r="B25" i="100"/>
  <c r="AA27" i="136"/>
  <c r="AA28" i="136"/>
  <c r="AA24" i="136"/>
  <c r="AA25" i="136"/>
  <c r="AA19" i="136"/>
  <c r="AA18" i="136"/>
  <c r="AA20" i="136"/>
  <c r="AA30" i="136"/>
  <c r="W67" i="134"/>
  <c r="X67" i="134" s="1"/>
  <c r="AB67" i="134" s="1"/>
  <c r="Z49" i="134"/>
  <c r="W32" i="136"/>
  <c r="X32" i="136" s="1"/>
  <c r="N42" i="134"/>
  <c r="W60" i="134"/>
  <c r="X60" i="134" s="1"/>
  <c r="X61" i="134" s="1"/>
  <c r="AA60" i="134"/>
  <c r="AA53" i="134"/>
  <c r="AA54" i="134"/>
  <c r="Y65" i="134"/>
  <c r="N52" i="134"/>
  <c r="N55" i="134" s="1"/>
  <c r="Z19" i="113"/>
  <c r="N67" i="134"/>
  <c r="Z67" i="134"/>
  <c r="AA45" i="134"/>
  <c r="N65" i="134"/>
  <c r="N68" i="134" s="1"/>
  <c r="AA44" i="134"/>
  <c r="AA66" i="134"/>
  <c r="AA29" i="134"/>
  <c r="AA64" i="134"/>
  <c r="AA27" i="134"/>
  <c r="N60" i="134"/>
  <c r="N61" i="134" s="1"/>
  <c r="Z60" i="134"/>
  <c r="N48" i="134"/>
  <c r="AA21" i="134"/>
  <c r="AA38" i="134"/>
  <c r="AA37" i="134"/>
  <c r="AA19" i="134"/>
  <c r="AA36" i="134"/>
  <c r="AA42" i="134"/>
  <c r="AA22" i="134"/>
  <c r="AA18" i="134"/>
  <c r="AA49" i="134"/>
  <c r="AA23" i="134"/>
  <c r="AA47" i="134"/>
  <c r="W49" i="134"/>
  <c r="X49" i="134" s="1"/>
  <c r="W47" i="134"/>
  <c r="X47" i="134" s="1"/>
  <c r="Y47" i="134" s="1"/>
  <c r="AA48" i="134"/>
  <c r="AA46" i="134"/>
  <c r="W63" i="134"/>
  <c r="X63" i="134" s="1"/>
  <c r="N17" i="134"/>
  <c r="W46" i="134"/>
  <c r="X46" i="134" s="1"/>
  <c r="AA35" i="134"/>
  <c r="AA43" i="134"/>
  <c r="AA63" i="134"/>
  <c r="Z32" i="136"/>
  <c r="Y17" i="136"/>
  <c r="AA31" i="136"/>
  <c r="AA32" i="136"/>
  <c r="AA26" i="136"/>
  <c r="AA17" i="136"/>
  <c r="AA21" i="136"/>
  <c r="AA29" i="136"/>
  <c r="Z63" i="134"/>
  <c r="W42" i="134"/>
  <c r="X42" i="134" s="1"/>
  <c r="Z42" i="134"/>
  <c r="Y48" i="134"/>
  <c r="AA17" i="134"/>
  <c r="AA67" i="134"/>
  <c r="Z52" i="134"/>
  <c r="W52" i="134"/>
  <c r="X52" i="134" s="1"/>
  <c r="Z17" i="134"/>
  <c r="W17" i="134"/>
  <c r="X17" i="134" s="1"/>
  <c r="AB17" i="134" s="1"/>
  <c r="Z20" i="113"/>
  <c r="W20" i="113"/>
  <c r="X20" i="113" s="1"/>
  <c r="W19" i="113"/>
  <c r="X19" i="113" s="1"/>
  <c r="X68" i="134" l="1"/>
  <c r="X41" i="136"/>
  <c r="AB32" i="136"/>
  <c r="AB41" i="136"/>
  <c r="Y46" i="134"/>
  <c r="AB46" i="134"/>
  <c r="X55" i="134"/>
  <c r="AB52" i="134"/>
  <c r="AB69" i="134"/>
  <c r="Y41" i="136"/>
  <c r="X33" i="136"/>
  <c r="Y33" i="136" s="1"/>
  <c r="N69" i="134"/>
  <c r="N24" i="134"/>
  <c r="X24" i="134"/>
  <c r="Y24" i="134" s="1"/>
  <c r="X69" i="134"/>
  <c r="X50" i="134"/>
  <c r="Y50" i="134" s="1"/>
  <c r="N50" i="134"/>
  <c r="Y67" i="134"/>
  <c r="Y49" i="134"/>
  <c r="B27" i="100"/>
  <c r="B19" i="100"/>
  <c r="Y32" i="136"/>
  <c r="Y55" i="134"/>
  <c r="Y60" i="134"/>
  <c r="Y63" i="134"/>
  <c r="Y68" i="134"/>
  <c r="Y32" i="134"/>
  <c r="Y42" i="134"/>
  <c r="Y17" i="134"/>
  <c r="Y52" i="134"/>
  <c r="AB74" i="134" l="1"/>
  <c r="AB75" i="134" s="1"/>
  <c r="AB76" i="134" s="1"/>
  <c r="D20" i="140"/>
  <c r="Y69" i="134"/>
  <c r="C25" i="100"/>
  <c r="Y61" i="134"/>
  <c r="E20" i="140" l="1"/>
  <c r="E24" i="140" s="1"/>
  <c r="Z41" i="136"/>
  <c r="AA41" i="136" s="1"/>
  <c r="D25" i="100"/>
  <c r="E25" i="100" s="1"/>
  <c r="C27" i="100"/>
  <c r="D27" i="100" s="1"/>
  <c r="E27" i="100" s="1"/>
  <c r="Z69" i="134"/>
  <c r="AA69" i="134" s="1"/>
  <c r="C19" i="100"/>
  <c r="E29" i="140" l="1"/>
  <c r="E36" i="140" s="1"/>
  <c r="D36" i="140"/>
  <c r="C44" i="140"/>
  <c r="C45" i="140" s="1"/>
  <c r="F20" i="140"/>
  <c r="F24" i="140"/>
  <c r="D19" i="100"/>
  <c r="E19" i="100" s="1"/>
  <c r="R17" i="113"/>
  <c r="Q17" i="113"/>
  <c r="K17" i="113"/>
  <c r="F29" i="140" l="1"/>
  <c r="F36" i="140"/>
  <c r="T17" i="113"/>
  <c r="V17" i="113"/>
  <c r="L17" i="113"/>
  <c r="U17" i="113" l="1"/>
  <c r="Z17" i="113" l="1"/>
  <c r="W17" i="113"/>
  <c r="X17" i="113" s="1"/>
  <c r="R24" i="113" l="1"/>
  <c r="V24" i="113"/>
  <c r="K24" i="113"/>
  <c r="L24" i="113" s="1"/>
  <c r="K23" i="113"/>
  <c r="L23" i="113" s="1"/>
  <c r="K21" i="113"/>
  <c r="R18" i="113"/>
  <c r="Q18" i="113"/>
  <c r="V18" i="113" s="1"/>
  <c r="K18" i="113"/>
  <c r="Q16" i="113"/>
  <c r="Q15" i="113"/>
  <c r="M14" i="113"/>
  <c r="M22" i="113" s="1"/>
  <c r="M10" i="113"/>
  <c r="K26" i="113" l="1"/>
  <c r="K25" i="113"/>
  <c r="N22" i="113"/>
  <c r="Y22" i="113"/>
  <c r="M19" i="113"/>
  <c r="Y19" i="113" s="1"/>
  <c r="M20" i="113"/>
  <c r="Z12" i="113"/>
  <c r="M17" i="113"/>
  <c r="L21" i="113"/>
  <c r="U23" i="113"/>
  <c r="Z23" i="113" s="1"/>
  <c r="V21" i="113"/>
  <c r="T21" i="113"/>
  <c r="T18" i="113"/>
  <c r="V23" i="113"/>
  <c r="L18" i="113"/>
  <c r="M23" i="113"/>
  <c r="N23" i="113" s="1"/>
  <c r="AA20" i="113" s="1"/>
  <c r="M24" i="113"/>
  <c r="N24" i="113" s="1"/>
  <c r="AA22" i="113" s="1"/>
  <c r="L25" i="113" l="1"/>
  <c r="L26" i="113"/>
  <c r="T26" i="113"/>
  <c r="T25" i="113"/>
  <c r="M21" i="113"/>
  <c r="N19" i="113"/>
  <c r="U24" i="113"/>
  <c r="N20" i="113"/>
  <c r="AA18" i="113" s="1"/>
  <c r="Y20" i="113"/>
  <c r="AA21" i="113"/>
  <c r="U18" i="113"/>
  <c r="N17" i="113"/>
  <c r="Y17" i="113"/>
  <c r="N21" i="113"/>
  <c r="W23" i="113"/>
  <c r="X23" i="113" s="1"/>
  <c r="M18" i="113"/>
  <c r="M25" i="113" s="1"/>
  <c r="U21" i="113"/>
  <c r="Y23" i="113" l="1"/>
  <c r="AB23" i="113"/>
  <c r="N25" i="113"/>
  <c r="N26" i="113"/>
  <c r="U26" i="113"/>
  <c r="U25" i="113"/>
  <c r="M26" i="113"/>
  <c r="AA19" i="113"/>
  <c r="W24" i="113"/>
  <c r="X24" i="113" s="1"/>
  <c r="AB24" i="113" s="1"/>
  <c r="Z21" i="113"/>
  <c r="AA17" i="113"/>
  <c r="Z24" i="113"/>
  <c r="Z18" i="113"/>
  <c r="W18" i="113"/>
  <c r="X18" i="113" s="1"/>
  <c r="N18" i="113"/>
  <c r="B18" i="100" s="1"/>
  <c r="Y18" i="113"/>
  <c r="W21" i="113"/>
  <c r="X21" i="113" s="1"/>
  <c r="AB26" i="113" l="1"/>
  <c r="X26" i="113"/>
  <c r="X25" i="113"/>
  <c r="B21" i="100"/>
  <c r="B30" i="100" s="1"/>
  <c r="Y24" i="113"/>
  <c r="Y25" i="113"/>
  <c r="AA23" i="113"/>
  <c r="Y21" i="113"/>
  <c r="Y26" i="113" s="1"/>
  <c r="C18" i="100" l="1"/>
  <c r="C21" i="100" s="1"/>
  <c r="D21" i="100" s="1"/>
  <c r="AA24" i="113"/>
  <c r="T21" i="97"/>
  <c r="Y22" i="99"/>
  <c r="X22" i="99"/>
  <c r="W22" i="99"/>
  <c r="V22" i="99"/>
  <c r="U22" i="99"/>
  <c r="T22" i="99"/>
  <c r="R22" i="99"/>
  <c r="Q22" i="99"/>
  <c r="Z22" i="99" s="1"/>
  <c r="K22" i="99"/>
  <c r="R21" i="99"/>
  <c r="Q21" i="99"/>
  <c r="Y21" i="99" s="1"/>
  <c r="K21" i="99"/>
  <c r="Y20" i="99"/>
  <c r="X20" i="99"/>
  <c r="R20" i="99"/>
  <c r="Q20" i="99"/>
  <c r="W20" i="99" s="1"/>
  <c r="K20" i="99"/>
  <c r="L20" i="99" s="1"/>
  <c r="M20" i="99" s="1"/>
  <c r="N20" i="99" s="1"/>
  <c r="Z19" i="99"/>
  <c r="Y19" i="99"/>
  <c r="X19" i="99"/>
  <c r="W19" i="99"/>
  <c r="V19" i="99"/>
  <c r="R19" i="99"/>
  <c r="Q19" i="99"/>
  <c r="U19" i="99" s="1"/>
  <c r="K19" i="99"/>
  <c r="Y18" i="99"/>
  <c r="X18" i="99"/>
  <c r="W18" i="99"/>
  <c r="V18" i="99"/>
  <c r="U18" i="99"/>
  <c r="T18" i="99"/>
  <c r="R18" i="99"/>
  <c r="Q18" i="99"/>
  <c r="Z18" i="99" s="1"/>
  <c r="K18" i="99"/>
  <c r="R17" i="99"/>
  <c r="Q17" i="99"/>
  <c r="Y17" i="99" s="1"/>
  <c r="K17" i="99"/>
  <c r="Q16" i="99"/>
  <c r="Q15" i="99"/>
  <c r="M14" i="99"/>
  <c r="Z12" i="99"/>
  <c r="M10" i="99"/>
  <c r="Y22" i="98"/>
  <c r="X22" i="98"/>
  <c r="W22" i="98"/>
  <c r="V22" i="98"/>
  <c r="R22" i="98"/>
  <c r="Q22" i="98"/>
  <c r="U22" i="98" s="1"/>
  <c r="K22" i="98"/>
  <c r="L22" i="98" s="1"/>
  <c r="Y21" i="98"/>
  <c r="X21" i="98"/>
  <c r="W21" i="98"/>
  <c r="V21" i="98"/>
  <c r="U21" i="98"/>
  <c r="T21" i="98"/>
  <c r="R21" i="98"/>
  <c r="Q21" i="98"/>
  <c r="Z21" i="98" s="1"/>
  <c r="K21" i="98"/>
  <c r="R20" i="98"/>
  <c r="Q20" i="98"/>
  <c r="Y20" i="98" s="1"/>
  <c r="K20" i="98"/>
  <c r="Y19" i="98"/>
  <c r="X19" i="98"/>
  <c r="R19" i="98"/>
  <c r="Q19" i="98"/>
  <c r="W19" i="98" s="1"/>
  <c r="K19" i="98"/>
  <c r="L19" i="98" s="1"/>
  <c r="M19" i="98" s="1"/>
  <c r="N19" i="98" s="1"/>
  <c r="Y18" i="98"/>
  <c r="X18" i="98"/>
  <c r="W18" i="98"/>
  <c r="V18" i="98"/>
  <c r="R18" i="98"/>
  <c r="Q18" i="98"/>
  <c r="U18" i="98" s="1"/>
  <c r="K18" i="98"/>
  <c r="Y17" i="98"/>
  <c r="X17" i="98"/>
  <c r="W17" i="98"/>
  <c r="V17" i="98"/>
  <c r="U17" i="98"/>
  <c r="T17" i="98"/>
  <c r="R17" i="98"/>
  <c r="Q17" i="98"/>
  <c r="Z17" i="98" s="1"/>
  <c r="K17" i="98"/>
  <c r="Q16" i="98"/>
  <c r="Q15" i="98"/>
  <c r="M14" i="98"/>
  <c r="Z12" i="98" s="1"/>
  <c r="M10" i="98"/>
  <c r="Z26" i="113" l="1"/>
  <c r="AA26" i="113" s="1"/>
  <c r="C30" i="100"/>
  <c r="D18" i="100"/>
  <c r="E18" i="100" s="1"/>
  <c r="N19" i="99"/>
  <c r="Z17" i="99"/>
  <c r="Z21" i="99"/>
  <c r="L19" i="99"/>
  <c r="M19" i="99"/>
  <c r="Z20" i="99"/>
  <c r="T21" i="99"/>
  <c r="U17" i="99"/>
  <c r="L22" i="99"/>
  <c r="M22" i="99" s="1"/>
  <c r="V17" i="99"/>
  <c r="T20" i="99"/>
  <c r="V21" i="99"/>
  <c r="L17" i="99"/>
  <c r="U20" i="99"/>
  <c r="W21" i="99"/>
  <c r="M17" i="99"/>
  <c r="X17" i="99"/>
  <c r="T19" i="99"/>
  <c r="V20" i="99"/>
  <c r="M21" i="99"/>
  <c r="X21" i="99"/>
  <c r="K23" i="99"/>
  <c r="T17" i="99"/>
  <c r="L18" i="99"/>
  <c r="M18" i="99" s="1"/>
  <c r="U21" i="99"/>
  <c r="W17" i="99"/>
  <c r="L21" i="99"/>
  <c r="N21" i="99" s="1"/>
  <c r="Z20" i="98"/>
  <c r="L18" i="98"/>
  <c r="M18" i="98" s="1"/>
  <c r="N18" i="98" s="1"/>
  <c r="T20" i="98"/>
  <c r="M22" i="98"/>
  <c r="N22" i="98" s="1"/>
  <c r="L17" i="98"/>
  <c r="U20" i="98"/>
  <c r="L21" i="98"/>
  <c r="M21" i="98" s="1"/>
  <c r="T18" i="98"/>
  <c r="V19" i="98"/>
  <c r="X20" i="98"/>
  <c r="X23" i="98" s="1"/>
  <c r="T22" i="98"/>
  <c r="K23" i="98"/>
  <c r="Z19" i="98"/>
  <c r="Z18" i="98"/>
  <c r="T19" i="98"/>
  <c r="T23" i="98" s="1"/>
  <c r="V20" i="98"/>
  <c r="Z22" i="98"/>
  <c r="U19" i="98"/>
  <c r="U23" i="98" s="1"/>
  <c r="L20" i="98"/>
  <c r="W20" i="98"/>
  <c r="D30" i="100" l="1"/>
  <c r="U23" i="99"/>
  <c r="M23" i="99"/>
  <c r="N22" i="99"/>
  <c r="L23" i="99"/>
  <c r="T23" i="99"/>
  <c r="AA17" i="99"/>
  <c r="N18" i="99"/>
  <c r="X23" i="99"/>
  <c r="N17" i="99"/>
  <c r="AA17" i="98"/>
  <c r="AA21" i="98"/>
  <c r="M20" i="98"/>
  <c r="N20" i="98" s="1"/>
  <c r="AA22" i="98"/>
  <c r="L23" i="98"/>
  <c r="AA19" i="98"/>
  <c r="AA18" i="98"/>
  <c r="AA20" i="98"/>
  <c r="M17" i="98"/>
  <c r="M23" i="98" s="1"/>
  <c r="Y23" i="98" s="1"/>
  <c r="N21" i="98"/>
  <c r="E21" i="100" l="1"/>
  <c r="E30" i="100"/>
  <c r="Y23" i="99"/>
  <c r="AA18" i="99"/>
  <c r="AA22" i="99"/>
  <c r="N23" i="99"/>
  <c r="AA21" i="99"/>
  <c r="AA20" i="99"/>
  <c r="AA19" i="99"/>
  <c r="N17" i="98"/>
  <c r="N23" i="98" s="1"/>
  <c r="R22" i="97" l="1"/>
  <c r="Q22" i="97"/>
  <c r="K22" i="97"/>
  <c r="V21" i="97"/>
  <c r="K21" i="97"/>
  <c r="L21" i="97" s="1"/>
  <c r="M21" i="97" s="1"/>
  <c r="K20" i="97"/>
  <c r="T19" i="97"/>
  <c r="K19" i="97"/>
  <c r="L19" i="97" s="1"/>
  <c r="R18" i="97"/>
  <c r="Q18" i="97"/>
  <c r="V18" i="97" s="1"/>
  <c r="K18" i="97"/>
  <c r="V17" i="97"/>
  <c r="T17" i="97"/>
  <c r="K17" i="97"/>
  <c r="Q16" i="97"/>
  <c r="Q15" i="97"/>
  <c r="M14" i="97"/>
  <c r="Z12" i="97" s="1"/>
  <c r="M10" i="97"/>
  <c r="W22" i="96"/>
  <c r="U22" i="96"/>
  <c r="R22" i="96"/>
  <c r="Q22" i="96"/>
  <c r="Z22" i="96" s="1"/>
  <c r="K22" i="96"/>
  <c r="L22" i="96" s="1"/>
  <c r="Y21" i="96"/>
  <c r="X21" i="96"/>
  <c r="U21" i="96"/>
  <c r="T21" i="96"/>
  <c r="R21" i="96"/>
  <c r="Q21" i="96"/>
  <c r="W21" i="96" s="1"/>
  <c r="K21" i="96"/>
  <c r="L21" i="96" s="1"/>
  <c r="Y20" i="96"/>
  <c r="W20" i="96"/>
  <c r="V20" i="96"/>
  <c r="R20" i="96"/>
  <c r="Q20" i="96"/>
  <c r="U20" i="96" s="1"/>
  <c r="L20" i="96"/>
  <c r="K20" i="96"/>
  <c r="Y19" i="96"/>
  <c r="X19" i="96"/>
  <c r="W19" i="96"/>
  <c r="U19" i="96"/>
  <c r="T19" i="96"/>
  <c r="R19" i="96"/>
  <c r="Q19" i="96"/>
  <c r="Z19" i="96" s="1"/>
  <c r="K19" i="96"/>
  <c r="L19" i="96" s="1"/>
  <c r="W18" i="96"/>
  <c r="U18" i="96"/>
  <c r="R18" i="96"/>
  <c r="Q18" i="96"/>
  <c r="Z18" i="96" s="1"/>
  <c r="L18" i="96"/>
  <c r="K18" i="96"/>
  <c r="Y17" i="96"/>
  <c r="X17" i="96"/>
  <c r="U17" i="96"/>
  <c r="T17" i="96"/>
  <c r="R17" i="96"/>
  <c r="Q17" i="96"/>
  <c r="W17" i="96" s="1"/>
  <c r="K17" i="96"/>
  <c r="L17" i="96" s="1"/>
  <c r="Q16" i="96"/>
  <c r="Q15" i="96"/>
  <c r="M14" i="96"/>
  <c r="Z12" i="96" s="1"/>
  <c r="M10" i="96"/>
  <c r="V22" i="97" l="1"/>
  <c r="U21" i="97"/>
  <c r="W21" i="97"/>
  <c r="X21" i="97" s="1"/>
  <c r="Y21" i="97" s="1"/>
  <c r="L17" i="97"/>
  <c r="M17" i="97" s="1"/>
  <c r="K23" i="97"/>
  <c r="U17" i="97"/>
  <c r="Z17" i="97" s="1"/>
  <c r="M19" i="97"/>
  <c r="N19" i="97" s="1"/>
  <c r="V20" i="97"/>
  <c r="U19" i="97"/>
  <c r="Z19" i="97" s="1"/>
  <c r="L20" i="97"/>
  <c r="M20" i="97" s="1"/>
  <c r="N21" i="97"/>
  <c r="T18" i="97"/>
  <c r="U18" i="97" s="1"/>
  <c r="V19" i="97"/>
  <c r="Z21" i="97"/>
  <c r="T22" i="97"/>
  <c r="U22" i="97" s="1"/>
  <c r="L18" i="97"/>
  <c r="M18" i="97" s="1"/>
  <c r="N18" i="97" s="1"/>
  <c r="L22" i="97"/>
  <c r="M22" i="97" s="1"/>
  <c r="T20" i="97"/>
  <c r="U20" i="97" s="1"/>
  <c r="Z20" i="97" s="1"/>
  <c r="M20" i="96"/>
  <c r="U23" i="96"/>
  <c r="M21" i="96"/>
  <c r="N21" i="96" s="1"/>
  <c r="N20" i="96"/>
  <c r="M17" i="96"/>
  <c r="L23" i="96"/>
  <c r="Z17" i="96"/>
  <c r="T18" i="96"/>
  <c r="V19" i="96"/>
  <c r="X20" i="96"/>
  <c r="Z21" i="96"/>
  <c r="T22" i="96"/>
  <c r="K23" i="96"/>
  <c r="V18" i="96"/>
  <c r="M19" i="96"/>
  <c r="N19" i="96" s="1"/>
  <c r="Z20" i="96"/>
  <c r="V22" i="96"/>
  <c r="V17" i="96"/>
  <c r="M18" i="96"/>
  <c r="N18" i="96" s="1"/>
  <c r="X18" i="96"/>
  <c r="X23" i="96" s="1"/>
  <c r="T20" i="96"/>
  <c r="V21" i="96"/>
  <c r="M22" i="96"/>
  <c r="N22" i="96" s="1"/>
  <c r="X22" i="96"/>
  <c r="Y18" i="96"/>
  <c r="Y22" i="96"/>
  <c r="Z22" i="97" l="1"/>
  <c r="W22" i="97"/>
  <c r="X22" i="97" s="1"/>
  <c r="Y22" i="97" s="1"/>
  <c r="W18" i="97"/>
  <c r="X18" i="97" s="1"/>
  <c r="Y18" i="97" s="1"/>
  <c r="Z18" i="97"/>
  <c r="W19" i="97"/>
  <c r="X19" i="97" s="1"/>
  <c r="Y19" i="97" s="1"/>
  <c r="W20" i="97"/>
  <c r="X20" i="97" s="1"/>
  <c r="Y20" i="97" s="1"/>
  <c r="T23" i="97"/>
  <c r="AA22" i="97" s="1"/>
  <c r="N17" i="97"/>
  <c r="M23" i="97"/>
  <c r="L23" i="97"/>
  <c r="U23" i="97"/>
  <c r="W17" i="97"/>
  <c r="X17" i="97" s="1"/>
  <c r="N22" i="97"/>
  <c r="N20" i="97"/>
  <c r="M23" i="96"/>
  <c r="Y23" i="96" s="1"/>
  <c r="T23" i="96"/>
  <c r="AA22" i="96"/>
  <c r="N17" i="96"/>
  <c r="N23" i="96" s="1"/>
  <c r="AA20" i="97" l="1"/>
  <c r="AA18" i="97"/>
  <c r="N23" i="97"/>
  <c r="X23" i="97"/>
  <c r="Y23" i="97" s="1"/>
  <c r="Y17" i="97"/>
  <c r="AA21" i="97"/>
  <c r="AA17" i="97"/>
  <c r="AA19" i="97"/>
  <c r="AA21" i="96"/>
  <c r="AA17" i="96"/>
  <c r="AA19" i="96"/>
  <c r="AA20" i="96"/>
  <c r="AA18" i="96"/>
</calcChain>
</file>

<file path=xl/sharedStrings.xml><?xml version="1.0" encoding="utf-8"?>
<sst xmlns="http://schemas.openxmlformats.org/spreadsheetml/2006/main" count="1622" uniqueCount="529">
  <si>
    <t>ORÇAMENTO 5.0</t>
  </si>
  <si>
    <t>Oggi Comunicação e Eventos</t>
  </si>
  <si>
    <t>CÓDIGO DO JOB: L_052</t>
  </si>
  <si>
    <t>CLIENTE: LACTALIS</t>
  </si>
  <si>
    <t>EVENTO: Encontro de Líderes 2025</t>
  </si>
  <si>
    <t>LOCAL: À definir</t>
  </si>
  <si>
    <r>
      <t xml:space="preserve">DATA: </t>
    </r>
    <r>
      <rPr>
        <b/>
        <sz val="14"/>
        <color rgb="FFFF0000"/>
        <rFont val="Trebuchet MS"/>
        <family val="2"/>
      </rPr>
      <t>09 e 10 de dezembro de 2025</t>
    </r>
  </si>
  <si>
    <t>ATENDIMENTO: Nilson Miguel</t>
  </si>
  <si>
    <t>PRODUTOR: Carol Iglezias</t>
  </si>
  <si>
    <t>NOME PLANILHA: L_052_Encontro de Líderes 2025</t>
  </si>
  <si>
    <t>NF 60 dias após o evento</t>
  </si>
  <si>
    <t>CUSTOS (valor de custo c/ NF ou recibo)</t>
  </si>
  <si>
    <t>DIFERENÇA NF (Lucro)</t>
  </si>
  <si>
    <t>ENCARGOS PUBLI</t>
  </si>
  <si>
    <t>SOLICITAÇÃO DE PAGAMENTO</t>
  </si>
  <si>
    <t>FORNECEDOR</t>
  </si>
  <si>
    <t>Solicitado</t>
  </si>
  <si>
    <t>PAGAMENTOS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</si>
  <si>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</si>
  <si>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</si>
  <si>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</si>
  <si>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</si>
  <si>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</si>
  <si>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</si>
  <si>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</si>
  <si>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</si>
  <si>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</si>
  <si>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</si>
  <si>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</si>
  <si>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</si>
  <si>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</si>
  <si>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</si>
  <si>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</si>
  <si>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</si>
  <si>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</si>
  <si>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</si>
  <si>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</si>
  <si>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</si>
  <si>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</si>
  <si>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</si>
  <si>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Peso</t>
  </si>
  <si>
    <t>Valor Total</t>
  </si>
  <si>
    <t>Saldo</t>
  </si>
  <si>
    <t>Data</t>
  </si>
  <si>
    <t>Fornecedor</t>
  </si>
  <si>
    <t>CPF/CNPJ</t>
  </si>
  <si>
    <t>Vazio</t>
  </si>
  <si>
    <t>PENDENTE</t>
  </si>
  <si>
    <t>EFETUADO</t>
  </si>
  <si>
    <t>GRUPO</t>
  </si>
  <si>
    <t>INTERNOS</t>
  </si>
  <si>
    <t>1.1</t>
  </si>
  <si>
    <t>SUBGRUPO</t>
  </si>
  <si>
    <t>Custos Internos</t>
  </si>
  <si>
    <t>AGENCIAMENTO</t>
  </si>
  <si>
    <t>IMPOSTOS</t>
  </si>
  <si>
    <t>Marg.</t>
  </si>
  <si>
    <t>1.1.1</t>
  </si>
  <si>
    <t>ITEM</t>
  </si>
  <si>
    <t>INTERNO</t>
  </si>
  <si>
    <t>FAT.OGGI</t>
  </si>
  <si>
    <t xml:space="preserve">Planejamento e desenvolvimento do projeto  </t>
  </si>
  <si>
    <t>1.1.2</t>
  </si>
  <si>
    <t>Custo para o desmembrameto das peças do KV (pcte incluso até 3 refações)</t>
  </si>
  <si>
    <t>1.1.3</t>
  </si>
  <si>
    <t>3D</t>
  </si>
  <si>
    <t>1.1.4</t>
  </si>
  <si>
    <t xml:space="preserve">Planta baixa </t>
  </si>
  <si>
    <t>1.1.5</t>
  </si>
  <si>
    <t>Atendimento ao cliente, reuniões, alinhamento e fluxo interno;</t>
  </si>
  <si>
    <t>1.1.6</t>
  </si>
  <si>
    <t>Produtor Financeiro</t>
  </si>
  <si>
    <t>1.1.7</t>
  </si>
  <si>
    <t>Produtor executivo dedicado, responsável pela pré-produção, implementação do projeto e pós produção;</t>
  </si>
  <si>
    <t>1.1.8</t>
  </si>
  <si>
    <t>SUBTOTAL SUBGRUPO</t>
  </si>
  <si>
    <t xml:space="preserve">Subtotal </t>
  </si>
  <si>
    <t>Marg. Lucro</t>
  </si>
  <si>
    <t>Lucro</t>
  </si>
  <si>
    <t>SUBTOTAL PLANILHA</t>
  </si>
  <si>
    <t xml:space="preserve">TOTAL </t>
  </si>
  <si>
    <t>TOTAL</t>
  </si>
  <si>
    <t>ESTRUTURA</t>
  </si>
  <si>
    <t>OPERACIONAL</t>
  </si>
  <si>
    <t xml:space="preserve">.Painel de madeira com lona impressa aplicada, pesos para sustentação e fechamentos laterais em napa 4,00x2,50
.Balcão em Madeira construído revestido com napa com Logomarca em recorte PS tamanho proporcional 3,00x1,00 </t>
  </si>
  <si>
    <t>Cenografia (Foyer)</t>
  </si>
  <si>
    <t>.Painel de madeira com lona impressa aplicada, pesos para sustentação e fechamentos laterais em napa - Entrada da Sala Plenária medidas 6,70 x 2,50m
04 Totem de madeira adesivado autoportante, comunicação dos dois lados - medidas 0,60 x 1,60m</t>
  </si>
  <si>
    <t>Cenografia Plenária</t>
  </si>
  <si>
    <t xml:space="preserve">PALCO - Palco de praticáveis 10,00x3,00 chapeado revestido carpete forracao azul + 2 escadas laterais em angulo aprox. 1,50 + espaço para painel led 10,00x1,00+ iluminação cobled branco dimmer + púlpito acrílico + ps adesivado - medidas 13,00 x 4,00 x 0,60m
FUNDO DE PALCO - Lonas Impressa Lateral Led Central - medidas 3,00 x 4,60m/Logomarca LACTALIS em MDF recorte especial e neonflex na borda, aplicada nas lonas laterias entre os paineis de led, fixado a 0.10 da comunicação - medidas 1,70 larg x proporçao/Lona Impressa Base Leds Laterais medidas 5,00 x 1,50m
ESTRUTURA PARA PAINEIS DE LED - medidas 5,00 x 1,50 x 1,00m
FECHAMENTO HOUSE MIX - Trainel de madeira com acabamento em napa preta, frente e laterais. Sala Plenária medidas 11,00 x 1,50 x 1,00m </t>
  </si>
  <si>
    <t>Despesas com equipe para 01 dia de montagem e 01 dia de desmontagem + fretes</t>
  </si>
  <si>
    <t>Equipamentos Montagem e desmontagem</t>
  </si>
  <si>
    <t>Locação Plataforma elevatória para montagem e desmontagem dos equipamentos</t>
  </si>
  <si>
    <t>Sonorização &amp; iluminação</t>
  </si>
  <si>
    <t>Recepção 5 ribaltas full color, 12 refletores Par LED full color. Para a plenária estão previstos 1 sistema Slim RCF (4 NXL 24 e 2 Sub 8005), 2 caixas RCF J8 Evox, 2 front fill QSC K8.2, 1 console Midas M32, 4 canais Axient Shure com antenas, 4 microfones sem fio bastão, 2 body pack, 2 head set Countryman, 1 notebook e estrutura de palco com truss de 17m, 6 moving beam 9R LED, 8 strobo LED RGBW, 12 moving wash LED Robe 150, console Avolite, máquina de haze e refletores adicionais para frente e plateia. A iluminação cênica 24 refletores Par LED full color e 6 ribaltas full color. Festa estão incluídos 2 moving Giotto 400 SGM com gobo.
Equipe técnica completa para montagem, operação e desmontagem, composta por técnicos de som e luz, auxiliares e coordenador, além de logística de transporte e frete.</t>
  </si>
  <si>
    <t>Painel de Led</t>
  </si>
  <si>
    <t>01 painel 10x4m P2 
02 painéis 2.5x5m P2 
Gerenciamento completo 
Logistica</t>
  </si>
  <si>
    <t>MATERIAL GRÁFICO</t>
  </si>
  <si>
    <t>2.1</t>
  </si>
  <si>
    <t>2.1.1</t>
  </si>
  <si>
    <t>Crachá</t>
  </si>
  <si>
    <t xml:space="preserve">Formato 10x15cm 4x0 plastificação rigida </t>
  </si>
  <si>
    <t>2.1.2</t>
  </si>
  <si>
    <t>Cordão</t>
  </si>
  <si>
    <t>2.1.3</t>
  </si>
  <si>
    <t>Fichas de palco</t>
  </si>
  <si>
    <t>Formato A5 4x0 CF350G</t>
  </si>
  <si>
    <t>2.1.4</t>
  </si>
  <si>
    <t>2.1.5</t>
  </si>
  <si>
    <t>EQUIPE &amp; SERVIÇOS</t>
  </si>
  <si>
    <t>3.1</t>
  </si>
  <si>
    <t>Equipe &amp; Serviços</t>
  </si>
  <si>
    <t>3.1.1</t>
  </si>
  <si>
    <t>Estrutura festa</t>
  </si>
  <si>
    <t>Rider Banda</t>
  </si>
  <si>
    <t>3.1.2</t>
  </si>
  <si>
    <t>3.1.3</t>
  </si>
  <si>
    <t>3.1.4</t>
  </si>
  <si>
    <t>Plenária</t>
  </si>
  <si>
    <t>3.1.7</t>
  </si>
  <si>
    <t>Ensaio + direção geral do evento</t>
  </si>
  <si>
    <t>3.1.8</t>
  </si>
  <si>
    <t>3.1.9</t>
  </si>
  <si>
    <t>Recepcionistas</t>
  </si>
  <si>
    <t xml:space="preserve">02 promotoras para o dia 08 para credenciamento </t>
  </si>
  <si>
    <t>3.1.10</t>
  </si>
  <si>
    <t>Uniforme</t>
  </si>
  <si>
    <t>Camiseta Lactalis</t>
  </si>
  <si>
    <t>3.1.11</t>
  </si>
  <si>
    <t>Fotográfo</t>
  </si>
  <si>
    <t>3.1.13</t>
  </si>
  <si>
    <t>Carregadores</t>
  </si>
  <si>
    <t>3.1.14</t>
  </si>
  <si>
    <t xml:space="preserve">Gerador </t>
  </si>
  <si>
    <t>3.1.15</t>
  </si>
  <si>
    <t>Rádio Comunicador</t>
  </si>
  <si>
    <t>Locação de rádio + frete (15 rádios)</t>
  </si>
  <si>
    <t>Subtotal Serviços</t>
  </si>
  <si>
    <t>3.2</t>
  </si>
  <si>
    <t>Taxas</t>
  </si>
  <si>
    <t>3.2.1</t>
  </si>
  <si>
    <t>Seguro do evento</t>
  </si>
  <si>
    <t xml:space="preserve">Seguro de Responsabilidade Civil,  Riscos Diversos, Acidentes Pessoais STAFF, Acidentes Pessoais Público - Cobre os danos corporais ou materiais causados a terceiros em razão de acidentes relacionados à realização do evento. </t>
  </si>
  <si>
    <t>3.2.2</t>
  </si>
  <si>
    <t>Alvará</t>
  </si>
  <si>
    <t>Documento de liberação do evento - Pontos de ancoragem | ARTs | Análise das documentações, memoriais, e ART's:</t>
  </si>
  <si>
    <t>3.2.3</t>
  </si>
  <si>
    <t>Bombeiros</t>
  </si>
  <si>
    <t>Acompanhamento fiscal para montagem e desmontagem do evento e festa (Montagem 08/12 - 2 turnos | Virada de sala/festa - 01 Turno | Desmontagem - 2 Turnos)</t>
  </si>
  <si>
    <t>Ecad</t>
  </si>
  <si>
    <t>Subtotal Taxas</t>
  </si>
  <si>
    <t>Equipe de produção</t>
  </si>
  <si>
    <t>Responsável pelo montagem infra estrutura - Suporte a manutenção geral do evento (01 dia de montagem + 02 dias de evento - Turno 12 horas)</t>
  </si>
  <si>
    <t>A/B - Responsável pelo suporte a Kamila Pavaneli e implementação de alimentos no hotel 
(1 dia de recebimento dos produtos + 01 dia de montagem + 02 dias de evento)</t>
  </si>
  <si>
    <t>Operacional 1 - Responsável pelo suporte ao produtor executivo para condução de agenda em plenária (Turno 12 horas)</t>
  </si>
  <si>
    <t>Operacional 2 - Responsável pelo suporte geral para condução da festa e demandas relacionadas ao hotel e credenciamento (help desk) (Turno 12 horas)</t>
  </si>
  <si>
    <t>Custos Operacionais</t>
  </si>
  <si>
    <t>Subtotal Equipe de produção</t>
  </si>
  <si>
    <t>ND 60 dias - emissão data pagamento do fornecedor</t>
  </si>
  <si>
    <t>HOTEL</t>
  </si>
  <si>
    <t>Hotel Novotel Itu Golf &amp; Resort</t>
  </si>
  <si>
    <t>FAT.CLIENTE</t>
  </si>
  <si>
    <t>Apartamento Double
Categoria Luxo</t>
  </si>
  <si>
    <t>Alimentação</t>
  </si>
  <si>
    <t>Locação Sala 
TERRAS 1+2+3
Área 1028m2 e pé direito 7m</t>
  </si>
  <si>
    <t xml:space="preserve">Locação Sala </t>
  </si>
  <si>
    <t xml:space="preserve">Coffee Break </t>
  </si>
  <si>
    <t xml:space="preserve">Coffee Break Primavera
Dia 09/12 - Manhã e Tarde
Dia 10/12 - Manhã </t>
  </si>
  <si>
    <t>Reserva de verba</t>
  </si>
  <si>
    <t>Subtotal Hotel Novotel Itu Golf &amp; Resort</t>
  </si>
  <si>
    <t>HAPPY HOUR</t>
  </si>
  <si>
    <t>A&amp;B Festas</t>
  </si>
  <si>
    <t>Show Banda</t>
  </si>
  <si>
    <t>Locação Sala</t>
  </si>
  <si>
    <t>Coquetel Dia 09/12
Virada de Sala</t>
  </si>
  <si>
    <t>Pacote 
(Serviço 4h)</t>
  </si>
  <si>
    <t>Subtotal A&amp;B Festas</t>
  </si>
  <si>
    <t>CÓDIGO DO JOB: L_041</t>
  </si>
  <si>
    <t>CLIENTE: Lactalis</t>
  </si>
  <si>
    <t>EVENTO: LDB 10 ANOS | Cliente</t>
  </si>
  <si>
    <t>LOCAL: A definir</t>
  </si>
  <si>
    <t>DATA: JUNHO</t>
  </si>
  <si>
    <t>PRODUTOR: Patrick</t>
  </si>
  <si>
    <t>NOME PLANILHA: L_041_LDB 10 ANOS_CLIENTES</t>
  </si>
  <si>
    <t>Opções do Hotel | 03</t>
  </si>
  <si>
    <t>TIVOLI</t>
  </si>
  <si>
    <t xml:space="preserve">Local </t>
  </si>
  <si>
    <t>Nome do Espaço: 1.3. Jardins AB
Formato: Banquete 615m²</t>
  </si>
  <si>
    <t xml:space="preserve">Diária de Montagem </t>
  </si>
  <si>
    <t>Coquetel - Pré jantar</t>
  </si>
  <si>
    <t>6 tipos à escolha
(Entre canapés frios, quentes e sobremesas)</t>
  </si>
  <si>
    <t>Jantar</t>
  </si>
  <si>
    <t>Entrada + Prato prinicpal + sobremesa;</t>
  </si>
  <si>
    <t>Carta de bebidas 
(Open Bar 03)</t>
  </si>
  <si>
    <t>Água Mineral, refrigerantes, suco de frutas, cerveja, vinho branco e tinto importado, espumante, 01 opção de coquetel (Gin tônica ou aperol Spritz);</t>
  </si>
  <si>
    <t>Rider básico do espaço</t>
  </si>
  <si>
    <t>Subtotal Tivoli</t>
  </si>
  <si>
    <t>Subtotal Hotel Jw Marriot</t>
  </si>
  <si>
    <t>Opções do Hotel | 04</t>
  </si>
  <si>
    <t>Grand mercure</t>
  </si>
  <si>
    <t>Grand Mercure  -  Local Ballroom</t>
  </si>
  <si>
    <t>Grand Mercure -  Montagem</t>
  </si>
  <si>
    <t>Grand Mercure -  Jantar</t>
  </si>
  <si>
    <t>Grand Mercure -  Carta de bebidas</t>
  </si>
  <si>
    <t>Grand Mercure -  Hospedagem</t>
  </si>
  <si>
    <t>Subtotal Grand Mercure</t>
  </si>
  <si>
    <t>Opções do Hotel | 06</t>
  </si>
  <si>
    <t>Renaissance</t>
  </si>
  <si>
    <t>Renaissance -  Local Ballroom</t>
  </si>
  <si>
    <t>Renaissance -  Montagem</t>
  </si>
  <si>
    <t>Renaissance -  Jantar</t>
  </si>
  <si>
    <t>Renaissance -  Carta de bebidas</t>
  </si>
  <si>
    <t>Renaissance -  Hospedagem</t>
  </si>
  <si>
    <t>Subtotal Renaissance</t>
  </si>
  <si>
    <t>Opções do Hotel | 02</t>
  </si>
  <si>
    <t>Hotel WTC SHERATON</t>
  </si>
  <si>
    <t>WTC -  Local Ballroom</t>
  </si>
  <si>
    <t>WTC -  Montagem</t>
  </si>
  <si>
    <t>WTC -  Jantar</t>
  </si>
  <si>
    <t>WTC -  Carta de bebidas</t>
  </si>
  <si>
    <t>WTC -  Hospedagem</t>
  </si>
  <si>
    <t>Subtotal Hotel WTC</t>
  </si>
  <si>
    <t>Custos Internos e Produção</t>
  </si>
  <si>
    <t>ESTRUTURA EVENTO</t>
  </si>
  <si>
    <t>Novotel Itu</t>
  </si>
  <si>
    <r>
      <t>HOTEL HOSPEDAGEM, SALAS E A&amp;B (</t>
    </r>
    <r>
      <rPr>
        <b/>
        <sz val="11"/>
        <color rgb="FFFF0000"/>
        <rFont val="Calibri"/>
        <family val="2"/>
        <scheme val="minor"/>
      </rPr>
      <t>aprovado</t>
    </r>
    <r>
      <rPr>
        <b/>
        <sz val="11"/>
        <color theme="1"/>
        <rFont val="Calibri"/>
        <family val="2"/>
        <scheme val="minor"/>
      </rPr>
      <t>)</t>
    </r>
  </si>
  <si>
    <r>
      <t>HOTEL REUNIÃO 13 PAX (</t>
    </r>
    <r>
      <rPr>
        <b/>
        <sz val="11"/>
        <color rgb="FFFF0000"/>
        <rFont val="Calibri"/>
        <family val="2"/>
        <scheme val="minor"/>
      </rPr>
      <t xml:space="preserve"> aprovado</t>
    </r>
    <r>
      <rPr>
        <b/>
        <sz val="11"/>
        <color theme="1"/>
        <rFont val="Calibri"/>
        <family val="2"/>
        <scheme val="minor"/>
      </rPr>
      <t>)</t>
    </r>
  </si>
  <si>
    <t>Total do Investimento</t>
  </si>
  <si>
    <t>LOCAL: Novotel Itu</t>
  </si>
  <si>
    <t>13 Quartos duplos - total de 13 pax
Café da manhã, almoço e jantar servidos em formato Buffet 
Check-in: 10/12 às 18h00 | Check-out: 11/12 às 12h00</t>
  </si>
  <si>
    <t>Buffet do Chef - Incluso bebida não alcóolica
10/12 - Jantar
11/12 - Almoço</t>
  </si>
  <si>
    <t>Coffee Break Primavera
Dia 10/12 - Manhã
11/12 - Tarde</t>
  </si>
  <si>
    <t>Estrutura</t>
  </si>
  <si>
    <t>01 Tela 120" Retrátil Elétrica + 01 Projetor 3.500 Lumens +
01 Mouse Apresentador Sem Fio
01 Flipchart (10 Folhas e 02 Canetas)
01 Filtro de Linha
01 Cabo HDMI
01 Sistema de som
01 Suporte Técnico Montagem e acompanhamento</t>
  </si>
  <si>
    <t>Índice</t>
  </si>
  <si>
    <t>Grupo</t>
  </si>
  <si>
    <t>Subgrupo</t>
  </si>
  <si>
    <t>Resumo</t>
  </si>
  <si>
    <t>Descrição</t>
  </si>
  <si>
    <t>Data da Solicitação</t>
  </si>
  <si>
    <t>Solicitante</t>
  </si>
  <si>
    <t>Aprovação</t>
  </si>
  <si>
    <t>CNPJ</t>
  </si>
  <si>
    <t>RAZÃO SOCIAL</t>
  </si>
  <si>
    <t>CONTATO</t>
  </si>
  <si>
    <t>Como Acessar ?</t>
  </si>
  <si>
    <t>Endereço Publi</t>
  </si>
  <si>
    <t>PubliExpress</t>
  </si>
  <si>
    <t>MACROFLUXO IMPORTAR ORÇAMENTO PUBLI</t>
  </si>
  <si>
    <t>MACROFLUXO PEDIDO DE PAGAMENTO PUBLI</t>
  </si>
  <si>
    <t>MACROFLUXO BAIXA NOTA FISCAL PEDIDO</t>
  </si>
  <si>
    <t>O</t>
  </si>
  <si>
    <t/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</si>
  <si>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</si>
  <si>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</si>
  <si>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</si>
  <si>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</si>
  <si>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</si>
  <si>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</si>
  <si>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</si>
  <si>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</si>
  <si>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</si>
  <si>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</si>
  <si>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</si>
  <si>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</si>
  <si>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</si>
  <si>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Valor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</si>
  <si>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</si>
  <si>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</si>
  <si>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</si>
  <si>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</si>
  <si>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</si>
  <si>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</si>
  <si>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</si>
  <si>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 xml:space="preserve">  1</t>
  </si>
  <si>
    <t>CUSTOS INTERNOS</t>
  </si>
  <si>
    <t>Aguardando Aprovação</t>
  </si>
  <si>
    <t>PM</t>
  </si>
  <si>
    <t>0,00%</t>
  </si>
  <si>
    <t xml:space="preserve">  1.  1</t>
  </si>
  <si>
    <t>PRODUÇÃO</t>
  </si>
  <si>
    <t>ServicosInternos</t>
  </si>
  <si>
    <t xml:space="preserve">  1.  1.  1</t>
  </si>
  <si>
    <t>Planejamento</t>
  </si>
  <si>
    <t>8,00%</t>
  </si>
  <si>
    <t>Planejamento do Job</t>
  </si>
  <si>
    <t xml:space="preserve">  1.  1.  2</t>
  </si>
  <si>
    <t>Produção executiva</t>
  </si>
  <si>
    <t>Peterson</t>
  </si>
  <si>
    <t xml:space="preserve">  1.  1.  3</t>
  </si>
  <si>
    <t>DIREÇÃO DE PRODUÇÃO</t>
  </si>
  <si>
    <t>Resp. pela gestão executiva operacional da ação. Pré Produção, implementação do projeto e pós produção.</t>
  </si>
  <si>
    <t>ServicosTerceiros</t>
  </si>
  <si>
    <t xml:space="preserve">  1.  1.  4</t>
  </si>
  <si>
    <t>CORTESIA LED</t>
  </si>
  <si>
    <t xml:space="preserve">  1.  1.  5</t>
  </si>
  <si>
    <t>HEAD DE ATENDIMENTO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</si>
  <si>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</si>
  <si>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 xml:space="preserve">  1.  1.  6</t>
  </si>
  <si>
    <t>BANDA</t>
  </si>
  <si>
    <t>PG</t>
  </si>
  <si>
    <t>15,00%</t>
  </si>
  <si>
    <t xml:space="preserve">  1.  2</t>
  </si>
  <si>
    <t>Operacional</t>
  </si>
  <si>
    <t xml:space="preserve">  1.  2.  1</t>
  </si>
  <si>
    <t>BUFFET</t>
  </si>
  <si>
    <t>Coffee Break - 20pax
Coffee Break Chegada - 350 pax
Coffee Break tarde - 350 pax 
Coquetel Happy Hour - 350 pax
Estação Permanente - Café e agua plenária</t>
  </si>
  <si>
    <t xml:space="preserve">  1.  2.  2</t>
  </si>
  <si>
    <t>BAR</t>
  </si>
  <si>
    <t>Serviço de cerveja, prosecco
contratado para 300 pax</t>
  </si>
  <si>
    <t xml:space="preserve">  2</t>
  </si>
  <si>
    <t>ARTISTICO</t>
  </si>
  <si>
    <t xml:space="preserve">  2.  1</t>
  </si>
  <si>
    <t>ATRAÇÃO</t>
  </si>
  <si>
    <t xml:space="preserve">  2.  1.  1</t>
  </si>
  <si>
    <t>MUSICO</t>
  </si>
  <si>
    <t xml:space="preserve">  2.  1.  2</t>
  </si>
  <si>
    <t>(*)Fim dos Itens</t>
  </si>
  <si>
    <t>Linhas iniciais de 1 a 9 e que contem o (*) não podem ser excluídas</t>
  </si>
  <si>
    <t>Para novos itens não preencher o campo Lançamento</t>
  </si>
  <si>
    <t>PREENCHER OS CAMPOS CORRETAMENTE</t>
  </si>
  <si>
    <t>DADOS DO JOB</t>
  </si>
  <si>
    <t>Data:</t>
  </si>
  <si>
    <t>15/12/2023</t>
  </si>
  <si>
    <t>Contratante:</t>
  </si>
  <si>
    <t>Oggi Eventos</t>
  </si>
  <si>
    <t>Cliente:</t>
  </si>
  <si>
    <t>LENOVO</t>
  </si>
  <si>
    <t>Job:</t>
  </si>
  <si>
    <t>LE025 TECHWORLD BRASIL</t>
  </si>
  <si>
    <t>Planilha:</t>
  </si>
  <si>
    <t>Orçamento Produção 2.0.2. TECHWORLD v2.xlsm</t>
  </si>
  <si>
    <t>Item:</t>
  </si>
  <si>
    <t>1.1.12</t>
  </si>
  <si>
    <t>DADOS PARA PAGAMENTO</t>
  </si>
  <si>
    <t>( X ) Pessoa Jurídica</t>
  </si>
  <si>
    <t>() Pessoa Jurídica</t>
  </si>
  <si>
    <t>Razão Social</t>
  </si>
  <si>
    <t>RODRIGUES PRODUCOES DE EVENTOS LTDA</t>
  </si>
  <si>
    <t>Fantasia:</t>
  </si>
  <si>
    <t>Banco:</t>
  </si>
  <si>
    <t>Agência</t>
  </si>
  <si>
    <t>Conta:</t>
  </si>
  <si>
    <t>Pix:</t>
  </si>
  <si>
    <t>CNPJ:</t>
  </si>
  <si>
    <t>18.404.744/0001-37</t>
  </si>
  <si>
    <t>CPF:</t>
  </si>
  <si>
    <t>Contato:</t>
  </si>
  <si>
    <t>(11) 4371-3170</t>
  </si>
  <si>
    <t>Celular:</t>
  </si>
  <si>
    <t>Parcela</t>
  </si>
  <si>
    <t>Forma de Pagamento</t>
  </si>
  <si>
    <t>1ª</t>
  </si>
  <si>
    <t>15/01/24</t>
  </si>
  <si>
    <t>R$ 3.680,00</t>
  </si>
  <si>
    <t>(   ) Boleto</t>
  </si>
  <si>
    <t>( X ) Depósito</t>
  </si>
  <si>
    <t>(   ) Pix</t>
  </si>
  <si>
    <t>2ª</t>
  </si>
  <si>
    <t>(   ) Depósito</t>
  </si>
  <si>
    <t>3ª</t>
  </si>
  <si>
    <t>4ª</t>
  </si>
  <si>
    <t>OBSERVAÇÕES</t>
  </si>
  <si>
    <t>REFERENTE AO PAGAMENTO EXTRA CENOGRAFIA - LENOVO TECHWORLD LE025</t>
  </si>
  <si>
    <t>APROVAÇÕES</t>
  </si>
  <si>
    <t>Q</t>
  </si>
  <si>
    <t xml:space="preserve">Àgua </t>
  </si>
  <si>
    <t>Banda First Class
Tempo de definição à definir
02 Vocais masculinos, 01 Vocal feminino, 01 Tecladista, 01 Baterista, 01 Guitarrista e 01 Contra-baixista</t>
  </si>
  <si>
    <t>Suporte e acompanhamento junto ao produtor executivo; (valor negociado de 7k para 5.5k)</t>
  </si>
  <si>
    <t>Layout 3d da sala com a implantação do KV
(valor negociado de 8.2k para 6.5k)</t>
  </si>
  <si>
    <t>3.1.5</t>
  </si>
  <si>
    <t>3.1.12</t>
  </si>
  <si>
    <t>Pista de Led</t>
  </si>
  <si>
    <t>Complementos para a mesa de queijo</t>
  </si>
  <si>
    <t>4.1</t>
  </si>
  <si>
    <t>ATRAÇÃO FESTA</t>
  </si>
  <si>
    <t>4.1.1</t>
  </si>
  <si>
    <t>4.1.2</t>
  </si>
  <si>
    <t>4.2</t>
  </si>
  <si>
    <t>4.2.1</t>
  </si>
  <si>
    <t>4.2.2</t>
  </si>
  <si>
    <t>4.2.3</t>
  </si>
  <si>
    <t>4.2.4</t>
  </si>
  <si>
    <t>4.2.5</t>
  </si>
  <si>
    <t>1 Piso Led modelo Paris medindo 7x7mts com rampas de segurança laterais
para demarcação de pista da dança.
1 Comando sequencial para efeitos
Cabos e conexões
1 Técnico periodo do evento</t>
  </si>
  <si>
    <t xml:space="preserve">Cabine de fotos - tradicional </t>
  </si>
  <si>
    <t>Cenografia Recepção (Entrada  Hotel)</t>
  </si>
  <si>
    <t>25mm impressão digital e 2 mosquetões;</t>
  </si>
  <si>
    <t>Locação mobiliário - 10 Bistrôs e 40 Banquetas Goias + 30 Lounges com puffs (Logistica de entrega e retirada)</t>
  </si>
  <si>
    <t>Reserva de verba para compra de adereços</t>
  </si>
  <si>
    <t>4.1.3</t>
  </si>
  <si>
    <t>BRINDES</t>
  </si>
  <si>
    <t xml:space="preserve">Avental </t>
  </si>
  <si>
    <t>Brindes</t>
  </si>
  <si>
    <t xml:space="preserve">Necessidades para camarim </t>
  </si>
  <si>
    <t>Cabine de Fotos Status Especial
Fotos Impressas na hora (10 x 15, tirinhas ou polaroid).
• Comporta mais de 4 pessoas por vez, o que diferencia a diversão,
trazendo mais privacidade nas escolhas das poses.
• As fotos tiradas tem a parede da cabine como fundo, o que elimina
outras pessoas aparecerem nas fotos.
• Usar filtros diversos na fotos (Preto e Branco, Sépia e vários outros)
• Gifs ou Fotos
• Possibilidade de fazer Chroma Key
Medidas:
2,0 altura x 2,45 largura x 1,5 profundidade</t>
  </si>
  <si>
    <t>Carta de boas vindas</t>
  </si>
  <si>
    <t>Locação de Toalhas -considerando frete de entrega e retirada</t>
  </si>
  <si>
    <t>3.1.6</t>
  </si>
  <si>
    <t>Avental em sarja + personalização</t>
  </si>
  <si>
    <t>INPRO EVENTOS - B.S. TOZZINI CENOGRAFIA E LOCAÇÃO</t>
  </si>
  <si>
    <t>62.868.420/0001-41</t>
  </si>
  <si>
    <t xml:space="preserve">MW LED PRODUÇÕES </t>
  </si>
  <si>
    <t>31.158.166/0001-64</t>
  </si>
  <si>
    <t xml:space="preserve">SACOLA 35A x 30L x 15P PERSONALIZADA
Formato 35 x 30 x 15CM, 4 X 0cores, impresso em
papel Off set 180g. ACABAMENTO: Laminação fosca frete, faca especial, colagem de sacola, ilhós, cordão de nylon branco. </t>
  </si>
  <si>
    <t>Table Tent</t>
  </si>
  <si>
    <t>Carta Kit A4 4X)</t>
  </si>
  <si>
    <t>Carta de boas vindas A4 4x0</t>
  </si>
  <si>
    <t xml:space="preserve">Table Tent 15,5x 38 </t>
  </si>
  <si>
    <t>Terravista</t>
  </si>
  <si>
    <t>Pães artesanais, patês: ervas e nozes, nuts: frutas secas e castanhas; Conservas: azeitona temperada, tomate seco e caponata; Acompanhamentos: mel e chutney de frutas (período de 4 horas)</t>
  </si>
  <si>
    <t>Cenografia Logística</t>
  </si>
  <si>
    <t>Taxa obrigatória Ecad</t>
  </si>
  <si>
    <t>Sacola</t>
  </si>
  <si>
    <t>Sacola Personalizada</t>
  </si>
  <si>
    <t>PERTINA. Sacola dobrável em non-woven (80 g/m²) com alças
Sacola dobrável em non-woven (80 g/m²) com alças de 65 cm. Fornecida desdobrada. Dobrado: 200 x 120 mm | Aberto: 450 x 400 x 200 mm</t>
  </si>
  <si>
    <t xml:space="preserve">Livreto </t>
  </si>
  <si>
    <t xml:space="preserve">Livretos Receita 1 lamina de Capa e contra capa
no couche fosco 250g + miolo com 16 paginas
cf150g + acabamento dobra + 2 grampos </t>
  </si>
  <si>
    <t>Logística</t>
  </si>
  <si>
    <t>Frete para envio de livretos de São Paulo para Novotel Itu</t>
  </si>
  <si>
    <t>Locação de Gerador 120KVA (Motagem 07/12, ensaio 8/12 | Evento dia 1 -  evento + festa 18h | Evento dia 10/12-  2 6h )</t>
  </si>
  <si>
    <t>Dj para: abertura, intervalo e encerramento</t>
  </si>
  <si>
    <t>07 A 08/12 - SUPERIOR SGL</t>
  </si>
  <si>
    <t>08 A 09/12 - SUPERIOR SGL</t>
  </si>
  <si>
    <t>08 A 09/12 - SUPERIOR DBL</t>
  </si>
  <si>
    <t>09 A 10/12 - SUPERIOR SGL</t>
  </si>
  <si>
    <t>09 A 10/12 - SUPERIOR DBL</t>
  </si>
  <si>
    <t>Apartamento 
Categoria Luxo</t>
  </si>
  <si>
    <t>Buffet do Chef - Incluso bebida não alcóolica
07/12 - Equipe Montagem
08/12 - Jantar
09/12 - Almoço| jantar
10/12 - Almoço</t>
  </si>
  <si>
    <t>Buffet do Chef - Incluso bebida não alcóolica
07/12 - Equipe Montagem</t>
  </si>
  <si>
    <t>Buffet do Chef - Incluso bebida não alcóolica
08/12 - Equipe Montagem</t>
  </si>
  <si>
    <t>Alimentação Staff
09/12 - Almoço| jantar
10/12 - Almoço</t>
  </si>
  <si>
    <t>Bolos</t>
  </si>
  <si>
    <t>7-Dec-CONSUMO MONTAGEM TERRAS 1+2+3 - TERMICA DE CAFÉ-6-51,00
8-Dec-CONSUMO GREEN 2 - AGUA LATA-10-9,00
9-Dec-CONSUMO TERRAS 1+2+3 - AGUA LATA-12-9,00
9-Dec-CONSUMO TERRAS 1+2+3 - TERMICA DE CAFÉ-32-51,00
9-Dec-CONSUMO JARDAS 3 - AGUA LATA-12-9,00
9-Dec-CONSUMO JARDAS 3 - TERMICA DE CAFÉ-1-51,00
9-Dec-CONSUMO COFFEE BREAK COCA COLA + ZERO-1-511,00
10-Dec-CONSUMO DRIVE 8 - AGUA LATA-24-9,00
10-Dec-CONSUMO DRIVE 8 - ENERGETICO-3-14,00
10-Dec-CONSUMO TERRAS 1+2+3 - ENERGETICO/ZERO-285-14,00
10-Dec-CONSUMO TERRAS 1+2+3 - AGUA LATA-12-9,00
10-Dec-CONSUMO TERRAS 1+2+3 - COCA COLA/ZERO-101-7,00
10-Dec-CONSUMO TERRAS 1+2+3 - TERMICA DE CAFÉ-15-51,00
7-Dec - AGUA LATA-6-9,00</t>
  </si>
  <si>
    <t>Pacote de Bebidas II LIGHT - Água mineral com e sem gás, refrigerante em lata, cerveja internacional em lata (Heineken) e uma opção de suco
Pacote de bebidas | incluso: 1 h de espumante (Chandon Brut)/ 3h de vinho tinto e  branco ( Sideways e Monte da Castinha)</t>
  </si>
  <si>
    <t>Locação Plataforma elevatória para montagem e desmontagem dos equipamentos + Dano</t>
  </si>
  <si>
    <t>Estacionamento</t>
  </si>
  <si>
    <t>Equipe + Banda</t>
  </si>
  <si>
    <t>10/12 CONSUMO CADDIE 7 - AGUA LATA - 24, 	9,00
10/12 COSNUMO CADDIE 7 - TERMICA DE CAFÉ-1,	51,00
11/12 COSNUMO CADDIE 7 - TERMICA DE CAFÉ-2,	51,00
11/12 CONSUMO CADDIE 7 - AGUA LATA-26,	9,00</t>
  </si>
  <si>
    <t xml:space="preserve">Reserva de verba para compra de adereços </t>
  </si>
  <si>
    <t xml:space="preserve">Reserva de verba para custos não provisionados </t>
  </si>
  <si>
    <t>1.1.9</t>
  </si>
  <si>
    <t>1.1.10</t>
  </si>
  <si>
    <t>1.1.11</t>
  </si>
  <si>
    <t>1.1.13</t>
  </si>
  <si>
    <t>1.1.14</t>
  </si>
  <si>
    <t>1.1.15</t>
  </si>
  <si>
    <t>1.1.16</t>
  </si>
  <si>
    <r>
      <t xml:space="preserve">DATA: </t>
    </r>
    <r>
      <rPr>
        <b/>
        <sz val="16"/>
        <color rgb="FFFF0000"/>
        <rFont val="Trebuchet MS"/>
        <family val="2"/>
      </rPr>
      <t>09 e 10 de dezembro de 2025</t>
    </r>
  </si>
  <si>
    <r>
      <t>Plenária | Diretor artístico|</t>
    </r>
    <r>
      <rPr>
        <sz val="14"/>
        <color rgb="FFFF0000"/>
        <rFont val="Trebuchet MS"/>
        <family val="2"/>
      </rPr>
      <t xml:space="preserve"> Antonio Carlos</t>
    </r>
  </si>
  <si>
    <r>
      <t>Plenária | DJ&amp;Sonoplasta -</t>
    </r>
    <r>
      <rPr>
        <sz val="14"/>
        <color rgb="FFFF0000"/>
        <rFont val="Trebuchet MS"/>
        <family val="2"/>
      </rPr>
      <t xml:space="preserve"> Bruna Lopes</t>
    </r>
  </si>
  <si>
    <r>
      <t>Responsável pela sonorização e sonoplastia durante a plenária -</t>
    </r>
    <r>
      <rPr>
        <sz val="14"/>
        <color rgb="FFFF0000"/>
        <rFont val="Trebuchet MS"/>
        <family val="2"/>
      </rPr>
      <t xml:space="preserve"> valor negociado</t>
    </r>
  </si>
  <si>
    <r>
      <t>Fotográfo para capatação de imagens no plenária + festa de confraternização -</t>
    </r>
    <r>
      <rPr>
        <sz val="14"/>
        <color rgb="FFFF0000"/>
        <rFont val="Trebuchet MS"/>
        <family val="2"/>
      </rPr>
      <t xml:space="preserve"> responsabilidade do cliente</t>
    </r>
  </si>
  <si>
    <r>
      <t xml:space="preserve">Carregadores para montagem e desmontagem </t>
    </r>
    <r>
      <rPr>
        <sz val="14"/>
        <color rgb="FFFF0000"/>
        <rFont val="Trebuchet MS"/>
        <family val="2"/>
      </rPr>
      <t>(valor negociado de 360,00 para 340,00)</t>
    </r>
  </si>
  <si>
    <r>
      <t xml:space="preserve">Produtor de Montagem - </t>
    </r>
    <r>
      <rPr>
        <sz val="14"/>
        <color rgb="FFFF0000"/>
        <rFont val="Trebuchet MS"/>
        <family val="2"/>
      </rPr>
      <t>Bruno Parras</t>
    </r>
  </si>
  <si>
    <r>
      <t xml:space="preserve">Produtor A&amp;B - </t>
    </r>
    <r>
      <rPr>
        <sz val="14"/>
        <color rgb="FFFF0000"/>
        <rFont val="Trebuchet MS"/>
        <family val="2"/>
      </rPr>
      <t>Luiza Távora</t>
    </r>
  </si>
  <si>
    <r>
      <t xml:space="preserve">Produtores Operacionais - </t>
    </r>
    <r>
      <rPr>
        <sz val="14"/>
        <color rgb="FFFF0000"/>
        <rFont val="Trebuchet MS"/>
        <family val="2"/>
      </rPr>
      <t>Jaqueline Brun</t>
    </r>
  </si>
  <si>
    <r>
      <t>Produtores Operacionais  -</t>
    </r>
    <r>
      <rPr>
        <sz val="14"/>
        <color rgb="FFFF0000"/>
        <rFont val="Trebuchet MS"/>
        <family val="2"/>
      </rPr>
      <t xml:space="preserve"> Wagner Rodrigues</t>
    </r>
  </si>
  <si>
    <t>LUCRO</t>
  </si>
  <si>
    <t xml:space="preserve">CUSTO </t>
  </si>
  <si>
    <t>VENDA</t>
  </si>
  <si>
    <t>STUDIO ROCA</t>
  </si>
  <si>
    <t>VÍDEO</t>
  </si>
  <si>
    <r>
      <t xml:space="preserve">Planejamento Operacional - </t>
    </r>
    <r>
      <rPr>
        <sz val="14"/>
        <color rgb="FFFF0000"/>
        <rFont val="Trebuchet MS"/>
        <family val="2"/>
      </rPr>
      <t>Paola</t>
    </r>
  </si>
  <si>
    <r>
      <t xml:space="preserve">Criação - </t>
    </r>
    <r>
      <rPr>
        <sz val="14"/>
        <color rgb="FFFF0000"/>
        <rFont val="Trebuchet MS"/>
        <family val="2"/>
      </rPr>
      <t>Bruno Mello</t>
    </r>
  </si>
  <si>
    <r>
      <t xml:space="preserve">Planta baixa - </t>
    </r>
    <r>
      <rPr>
        <sz val="14"/>
        <color rgb="FFFF0000"/>
        <rFont val="Trebuchet MS"/>
        <family val="2"/>
      </rPr>
      <t>Bruno Tozzini</t>
    </r>
  </si>
  <si>
    <r>
      <t xml:space="preserve">Atendimento: </t>
    </r>
    <r>
      <rPr>
        <sz val="14"/>
        <color rgb="FFFF0000"/>
        <rFont val="Trebuchet MS"/>
        <family val="2"/>
      </rPr>
      <t>Nilson Miguel</t>
    </r>
  </si>
  <si>
    <r>
      <t>Produtor Executivo:</t>
    </r>
    <r>
      <rPr>
        <sz val="14"/>
        <color rgb="FFFF0000"/>
        <rFont val="Trebuchet MS"/>
        <family val="2"/>
      </rPr>
      <t xml:space="preserve"> Carol Iglezias</t>
    </r>
  </si>
  <si>
    <r>
      <t xml:space="preserve">Produtor Assistente: </t>
    </r>
    <r>
      <rPr>
        <sz val="14"/>
        <color rgb="FFFF0000"/>
        <rFont val="Trebuchet MS"/>
        <family val="2"/>
      </rPr>
      <t>Gabi Goulart</t>
    </r>
  </si>
  <si>
    <t>CUSTO TOTAL</t>
  </si>
  <si>
    <r>
      <rPr>
        <b/>
        <sz val="14"/>
        <color theme="1"/>
        <rFont val="Trebuchet MS"/>
        <family val="2"/>
      </rPr>
      <t xml:space="preserve">Agenda
</t>
    </r>
    <r>
      <rPr>
        <sz val="14"/>
        <color theme="1"/>
        <rFont val="Trebuchet MS"/>
        <family val="2"/>
      </rPr>
      <t>07/12 - Montagem
08/12 - Montagem/Check-in
09/12 - Plenária + Almoço + Plenária + Festa
10/12 - Plenária manhã e Check-out 
2 diárias + (montagem cortesia 50%) - 320 pax formato auditório</t>
    </r>
  </si>
  <si>
    <r>
      <t xml:space="preserve">DATA: </t>
    </r>
    <r>
      <rPr>
        <b/>
        <sz val="16"/>
        <color rgb="FFFF0000"/>
        <rFont val="Trebuchet MS"/>
        <family val="2"/>
      </rPr>
      <t>11 de dezembro de 2025</t>
    </r>
  </si>
  <si>
    <r>
      <rPr>
        <b/>
        <sz val="16"/>
        <color theme="1"/>
        <rFont val="Trebuchet MS"/>
        <family val="2"/>
      </rPr>
      <t>Sala Caddie</t>
    </r>
    <r>
      <rPr>
        <sz val="16"/>
        <color theme="1"/>
        <rFont val="Trebuchet MS"/>
        <family val="2"/>
      </rPr>
      <t xml:space="preserve">
</t>
    </r>
    <r>
      <rPr>
        <u/>
        <sz val="16"/>
        <color theme="1"/>
        <rFont val="Trebuchet MS"/>
        <family val="2"/>
      </rPr>
      <t>Agenda</t>
    </r>
    <r>
      <rPr>
        <sz val="16"/>
        <color theme="1"/>
        <rFont val="Trebuchet MS"/>
        <family val="2"/>
      </rPr>
      <t xml:space="preserve">
10/12 - Tarde Reunião do Industrial
11/12 - Manhã Reunião</t>
    </r>
  </si>
  <si>
    <t>EVENTO</t>
  </si>
  <si>
    <t>NOVOTEL</t>
  </si>
  <si>
    <t>NOVOTEL REUNIÃO 13 PAX</t>
  </si>
  <si>
    <t>NOTA FISCAL 2529</t>
  </si>
  <si>
    <t>NOTA FISCAL 2653 (NOTA ANTECIPADA PORTAL SX)</t>
  </si>
  <si>
    <t xml:space="preserve"> NOTA FISCAL 2664</t>
  </si>
  <si>
    <t>NOTA DE DÉBITO 14</t>
  </si>
  <si>
    <t>REUNIÃO MKT - NOTA DE DÉBITO 14 (NOTA ANTECIPADA PORTAL SX)</t>
  </si>
  <si>
    <t xml:space="preserve"> NOTA DE DÉBITO 17</t>
  </si>
  <si>
    <t>LML ILUMINAÇÃO</t>
  </si>
  <si>
    <t>MESANINO ART</t>
  </si>
  <si>
    <t>BRINDES MAIS</t>
  </si>
  <si>
    <t>PRIME GERADORES</t>
  </si>
  <si>
    <t>SK COPIADORA</t>
  </si>
  <si>
    <t>TRADE EVENTOS</t>
  </si>
  <si>
    <t>SPEEDGRAPH</t>
  </si>
  <si>
    <t>JOVI BRINDES</t>
  </si>
  <si>
    <t>ALVARO PENTEADO (VIDEO MAKER)</t>
  </si>
  <si>
    <t>SELF MADE</t>
  </si>
  <si>
    <t>TS ITU HOTEL</t>
  </si>
  <si>
    <t>ALBERTO LIRA</t>
  </si>
  <si>
    <t>ENGPOINT</t>
  </si>
  <si>
    <t>ECAD</t>
  </si>
  <si>
    <t>BANDA FIRST CLASS</t>
  </si>
  <si>
    <t>CHUBB</t>
  </si>
  <si>
    <t>INPRO EVENTOS</t>
  </si>
  <si>
    <t>JAQUELINE BRUN</t>
  </si>
  <si>
    <t>LUIZA TAVORA</t>
  </si>
  <si>
    <t>BRUNO PARRA</t>
  </si>
  <si>
    <t>WAGNER RODRIGUES</t>
  </si>
  <si>
    <t>GABRIELA GOULART</t>
  </si>
  <si>
    <t>ALESSANDRO SANTOS</t>
  </si>
  <si>
    <t>BRUNA LOPES</t>
  </si>
  <si>
    <t>JRV LOCAÇÕES</t>
  </si>
  <si>
    <t>ANTONIO CARLOS</t>
  </si>
  <si>
    <t>DANIELLE MARINHO - BIANCA GOMES</t>
  </si>
  <si>
    <t>MW LED - R2C EVENTOS</t>
  </si>
  <si>
    <t>GRÁFICA E EDITORA VIP</t>
  </si>
  <si>
    <t>MR LOCAÇÕES</t>
  </si>
  <si>
    <t>CUSTOS OPERACIONAIS (REEMBOLSOS)</t>
  </si>
  <si>
    <t>PATRICK BAYEUX</t>
  </si>
  <si>
    <t>JOZENILSON MIGUEL</t>
  </si>
  <si>
    <t>ISABELA FERREIRA - TRANSFER</t>
  </si>
  <si>
    <t>ISABELA FERREIRA (PRESTAÇÃO DE CONTAS CAROL IGLEZIAS)</t>
  </si>
  <si>
    <t>BRUNA LOPES - CESAR MARCELO BARRES</t>
  </si>
  <si>
    <t>SISTEMA</t>
  </si>
  <si>
    <t>PLANILHAS</t>
  </si>
  <si>
    <t>DIFERENÇA EMISSÕES X PLANILHAS</t>
  </si>
  <si>
    <t>CAROLINE IGLEZIAS</t>
  </si>
  <si>
    <t>MOLINA</t>
  </si>
  <si>
    <t xml:space="preserve">ISABELA FERREIRA </t>
  </si>
  <si>
    <t>NOTAS EMITIDAS E ND EMITIDAS</t>
  </si>
  <si>
    <t>(PRESTAÇÃO DE CONTAS CAROL IGLEZIAS)</t>
  </si>
  <si>
    <t>WAH &amp; CLEAN - LAVANDERIA</t>
  </si>
  <si>
    <t>CUSTOS OPERACIONAIS</t>
  </si>
  <si>
    <t>NOTA FISCAL 2721 - (BV NOVOTEL)</t>
  </si>
  <si>
    <t>SEM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</si>
</sst>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  <numFmt numFmtId="171" formatCode="0.0%"/>
  </numFmts>
  <fonts count="8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Trebuchet MS"/>
      <family val="2"/>
    </font>
    <font>
      <b/>
      <sz val="16"/>
      <name val="Trebuchet MS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Gadugi"/>
      <family val="2"/>
    </font>
    <font>
      <b/>
      <sz val="16"/>
      <color rgb="FFFF0000"/>
      <name val="Trebuchet MS"/>
      <family val="2"/>
    </font>
    <font>
      <b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indexed="63"/>
      <name val="Trebuchet MS"/>
      <family val="2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00B050"/>
      <name val="Trebuchet MS"/>
      <family val="2"/>
    </font>
    <font>
      <sz val="16"/>
      <color theme="4"/>
      <name val="Trebuchet MS"/>
      <family val="2"/>
    </font>
    <font>
      <sz val="16"/>
      <name val="Trebuchet MS"/>
      <family val="2"/>
    </font>
    <font>
      <sz val="16"/>
      <color theme="9" tint="-0.249977111117893"/>
      <name val="Trebuchet MS"/>
      <family val="2"/>
    </font>
    <font>
      <sz val="16"/>
      <color rgb="FFFF0000"/>
      <name val="Trebuchet MS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indexed="63"/>
      <name val="Trebuchet MS"/>
      <family val="2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sz val="14"/>
      <color theme="4"/>
      <name val="Trebuchet MS"/>
      <family val="2"/>
    </font>
    <font>
      <sz val="14"/>
      <name val="Trebuchet MS"/>
      <family val="2"/>
    </font>
    <font>
      <sz val="14"/>
      <color theme="9" tint="-0.249977111117893"/>
      <name val="Trebuchet MS"/>
      <family val="2"/>
    </font>
    <font>
      <sz val="14"/>
      <color theme="9"/>
      <name val="Trebuchet MS"/>
      <family val="2"/>
    </font>
    <font>
      <sz val="14"/>
      <color rgb="FFFF0000"/>
      <name val="Trebuchet MS"/>
      <family val="2"/>
    </font>
    <font>
      <sz val="14"/>
      <color theme="5" tint="-0.249977111117893"/>
      <name val="Trebuchet MS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6"/>
      <color rgb="FF00B05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Trebuchet MS"/>
      <family val="2"/>
    </font>
    <font>
      <b/>
      <sz val="18"/>
      <color rgb="FF00B05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u/>
      <sz val="16"/>
      <color theme="1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rgb="FF00B0F0"/>
      <name val="Calibri"/>
      <family val="2"/>
      <scheme val="minor"/>
    </font>
    <font>
      <b/>
      <sz val="14"/>
      <color theme="4"/>
      <name val="Trebuchet MS"/>
      <family val="2"/>
    </font>
    <font>
      <b/>
      <sz val="14"/>
      <color rgb="FF212529"/>
      <name val="Trebuchet MS"/>
      <family val="2"/>
    </font>
    <font>
      <sz val="12"/>
      <color rgb="FFFF0000"/>
      <name val="Trebuchet MS"/>
      <family val="2"/>
    </font>
    <font>
      <sz val="14"/>
      <color theme="0"/>
      <name val="Trebuchet MS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27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8">
    <xf numFmtId="0" fontId="0" fillId="0" borderId="0" xfId="0"/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2" fillId="0" borderId="20" xfId="0" applyFont="1" applyBorder="1"/>
    <xf numFmtId="0" fontId="2" fillId="0" borderId="24" xfId="0" applyFont="1" applyBorder="1"/>
    <xf numFmtId="0" fontId="0" fillId="0" borderId="2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7" xfId="0" applyFont="1" applyBorder="1"/>
    <xf numFmtId="0" fontId="2" fillId="0" borderId="27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2" fillId="0" borderId="31" xfId="0" applyFont="1" applyBorder="1"/>
    <xf numFmtId="0" fontId="2" fillId="0" borderId="2" xfId="0" applyFont="1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30" xfId="0" applyBorder="1"/>
    <xf numFmtId="0" fontId="0" fillId="0" borderId="0" xfId="0" applyAlignment="1">
      <alignment horizontal="right"/>
    </xf>
    <xf numFmtId="0" fontId="14" fillId="4" borderId="36" xfId="0" applyFont="1" applyFill="1" applyBorder="1"/>
    <xf numFmtId="0" fontId="14" fillId="4" borderId="37" xfId="0" applyFont="1" applyFill="1" applyBorder="1"/>
    <xf numFmtId="0" fontId="18" fillId="0" borderId="0" xfId="8"/>
    <xf numFmtId="0" fontId="2" fillId="0" borderId="0" xfId="0" applyFont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23" fillId="9" borderId="57" xfId="0" applyFont="1" applyFill="1" applyBorder="1" applyAlignment="1">
      <alignment vertical="center"/>
    </xf>
    <xf numFmtId="0" fontId="25" fillId="9" borderId="57" xfId="0" applyFont="1" applyFill="1" applyBorder="1" applyAlignment="1">
      <alignment horizontal="center" vertical="center"/>
    </xf>
    <xf numFmtId="22" fontId="23" fillId="9" borderId="57" xfId="0" applyNumberFormat="1" applyFont="1" applyFill="1" applyBorder="1" applyAlignment="1">
      <alignment horizontal="center" vertical="center"/>
    </xf>
    <xf numFmtId="0" fontId="27" fillId="9" borderId="58" xfId="0" applyFont="1" applyFill="1" applyBorder="1" applyAlignment="1">
      <alignment horizontal="center" vertical="center" wrapText="1"/>
    </xf>
    <xf numFmtId="0" fontId="27" fillId="9" borderId="59" xfId="0" applyFont="1" applyFill="1" applyBorder="1" applyAlignment="1">
      <alignment horizontal="center" vertical="center" wrapText="1"/>
    </xf>
    <xf numFmtId="0" fontId="0" fillId="10" borderId="60" xfId="0" applyFill="1" applyBorder="1" applyAlignment="1">
      <alignment vertical="center"/>
    </xf>
    <xf numFmtId="0" fontId="0" fillId="10" borderId="60" xfId="0" applyFill="1" applyBorder="1" applyAlignment="1">
      <alignment horizontal="right" vertical="center"/>
    </xf>
    <xf numFmtId="4" fontId="0" fillId="10" borderId="60" xfId="0" applyNumberFormat="1" applyFill="1" applyBorder="1" applyAlignment="1">
      <alignment horizontal="right" vertical="center"/>
    </xf>
    <xf numFmtId="9" fontId="0" fillId="10" borderId="60" xfId="0" applyNumberFormat="1" applyFill="1" applyBorder="1" applyAlignment="1">
      <alignment horizontal="right" vertical="center"/>
    </xf>
    <xf numFmtId="0" fontId="0" fillId="10" borderId="61" xfId="0" applyFill="1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60" xfId="0" applyBorder="1" applyAlignment="1">
      <alignment horizontal="right" vertical="center"/>
    </xf>
    <xf numFmtId="4" fontId="0" fillId="0" borderId="60" xfId="0" applyNumberFormat="1" applyBorder="1" applyAlignment="1">
      <alignment horizontal="right" vertical="center"/>
    </xf>
    <xf numFmtId="9" fontId="0" fillId="0" borderId="60" xfId="0" applyNumberFormat="1" applyBorder="1" applyAlignment="1">
      <alignment horizontal="right" vertical="center"/>
    </xf>
    <xf numFmtId="0" fontId="0" fillId="0" borderId="61" xfId="0" applyBorder="1" applyAlignment="1">
      <alignment vertical="center"/>
    </xf>
    <xf numFmtId="0" fontId="0" fillId="0" borderId="61" xfId="0" applyBorder="1" applyAlignment="1">
      <alignment vertical="center" wrapText="1"/>
    </xf>
    <xf numFmtId="0" fontId="0" fillId="10" borderId="61" xfId="0" applyFill="1" applyBorder="1" applyAlignment="1">
      <alignment vertical="center" wrapText="1"/>
    </xf>
    <xf numFmtId="0" fontId="0" fillId="10" borderId="62" xfId="0" applyFill="1" applyBorder="1" applyAlignment="1">
      <alignment vertical="center"/>
    </xf>
    <xf numFmtId="0" fontId="0" fillId="10" borderId="62" xfId="0" applyFill="1" applyBorder="1" applyAlignment="1">
      <alignment horizontal="right" vertical="center"/>
    </xf>
    <xf numFmtId="4" fontId="0" fillId="10" borderId="62" xfId="0" applyNumberFormat="1" applyFill="1" applyBorder="1" applyAlignment="1">
      <alignment horizontal="right" vertical="center"/>
    </xf>
    <xf numFmtId="9" fontId="0" fillId="10" borderId="62" xfId="0" applyNumberFormat="1" applyFill="1" applyBorder="1" applyAlignment="1">
      <alignment horizontal="right" vertical="center"/>
    </xf>
    <xf numFmtId="0" fontId="0" fillId="10" borderId="63" xfId="0" applyFill="1" applyBorder="1" applyAlignment="1">
      <alignment vertical="center"/>
    </xf>
    <xf numFmtId="166" fontId="9" fillId="0" borderId="55" xfId="4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" fillId="0" borderId="69" xfId="0" applyFont="1" applyBorder="1" applyAlignment="1">
      <alignment vertical="center"/>
    </xf>
    <xf numFmtId="44" fontId="10" fillId="0" borderId="69" xfId="9" applyFont="1" applyBorder="1" applyAlignment="1">
      <alignment vertical="center"/>
    </xf>
    <xf numFmtId="44" fontId="10" fillId="15" borderId="11" xfId="9" applyFont="1" applyFill="1" applyBorder="1" applyAlignment="1">
      <alignment vertical="center"/>
    </xf>
    <xf numFmtId="44" fontId="10" fillId="16" borderId="11" xfId="9" applyFont="1" applyFill="1" applyBorder="1" applyAlignment="1">
      <alignment vertical="center"/>
    </xf>
    <xf numFmtId="44" fontId="10" fillId="17" borderId="11" xfId="9" applyFont="1" applyFill="1" applyBorder="1" applyAlignment="1">
      <alignment vertical="center"/>
    </xf>
    <xf numFmtId="0" fontId="10" fillId="0" borderId="70" xfId="0" applyFont="1" applyBorder="1" applyAlignment="1">
      <alignment horizontal="left" vertical="center" wrapText="1"/>
    </xf>
    <xf numFmtId="0" fontId="10" fillId="0" borderId="70" xfId="0" applyFont="1" applyBorder="1" applyAlignment="1">
      <alignment vertical="center"/>
    </xf>
    <xf numFmtId="44" fontId="10" fillId="0" borderId="70" xfId="9" applyFont="1" applyBorder="1" applyAlignment="1">
      <alignment vertical="center"/>
    </xf>
    <xf numFmtId="44" fontId="10" fillId="15" borderId="68" xfId="9" applyFont="1" applyFill="1" applyBorder="1" applyAlignment="1">
      <alignment vertical="center"/>
    </xf>
    <xf numFmtId="44" fontId="10" fillId="17" borderId="68" xfId="9" applyFont="1" applyFill="1" applyBorder="1" applyAlignment="1">
      <alignment vertical="center"/>
    </xf>
    <xf numFmtId="44" fontId="10" fillId="16" borderId="68" xfId="9" applyFont="1" applyFill="1" applyBorder="1" applyAlignment="1">
      <alignment vertical="center"/>
    </xf>
    <xf numFmtId="0" fontId="11" fillId="14" borderId="38" xfId="0" applyFont="1" applyFill="1" applyBorder="1" applyAlignment="1">
      <alignment horizontal="center" vertical="center"/>
    </xf>
    <xf numFmtId="44" fontId="10" fillId="0" borderId="54" xfId="9" applyFont="1" applyBorder="1" applyAlignment="1">
      <alignment vertical="center"/>
    </xf>
    <xf numFmtId="44" fontId="30" fillId="12" borderId="18" xfId="0" applyNumberFormat="1" applyFont="1" applyFill="1" applyBorder="1" applyAlignment="1">
      <alignment horizontal="right"/>
    </xf>
    <xf numFmtId="170" fontId="30" fillId="12" borderId="18" xfId="0" applyNumberFormat="1" applyFont="1" applyFill="1" applyBorder="1" applyAlignment="1">
      <alignment horizontal="right"/>
    </xf>
    <xf numFmtId="1" fontId="10" fillId="15" borderId="90" xfId="0" applyNumberFormat="1" applyFont="1" applyFill="1" applyBorder="1" applyAlignment="1">
      <alignment vertical="center"/>
    </xf>
    <xf numFmtId="44" fontId="20" fillId="17" borderId="18" xfId="0" applyNumberFormat="1" applyFont="1" applyFill="1" applyBorder="1"/>
    <xf numFmtId="0" fontId="0" fillId="16" borderId="18" xfId="0" applyFill="1" applyBorder="1"/>
    <xf numFmtId="44" fontId="20" fillId="16" borderId="18" xfId="0" applyNumberFormat="1" applyFont="1" applyFill="1" applyBorder="1"/>
    <xf numFmtId="44" fontId="10" fillId="16" borderId="54" xfId="9" applyFont="1" applyFill="1" applyBorder="1" applyAlignment="1">
      <alignment vertical="center"/>
    </xf>
    <xf numFmtId="44" fontId="10" fillId="0" borderId="73" xfId="9" applyFont="1" applyBorder="1" applyAlignment="1">
      <alignment vertical="center"/>
    </xf>
    <xf numFmtId="1" fontId="10" fillId="15" borderId="89" xfId="0" applyNumberFormat="1" applyFont="1" applyFill="1" applyBorder="1" applyAlignment="1">
      <alignment vertical="center"/>
    </xf>
    <xf numFmtId="44" fontId="10" fillId="16" borderId="73" xfId="9" applyFont="1" applyFill="1" applyBorder="1" applyAlignment="1">
      <alignment vertical="center"/>
    </xf>
    <xf numFmtId="49" fontId="0" fillId="0" borderId="0" xfId="0" applyNumberFormat="1"/>
    <xf numFmtId="0" fontId="10" fillId="0" borderId="6" xfId="0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10" fontId="9" fillId="6" borderId="10" xfId="5" applyNumberFormat="1" applyFont="1" applyFill="1" applyBorder="1" applyAlignment="1">
      <alignment horizontal="center" vertical="center" wrapText="1"/>
    </xf>
    <xf numFmtId="165" fontId="9" fillId="6" borderId="9" xfId="4" applyFont="1" applyFill="1" applyBorder="1" applyAlignment="1">
      <alignment horizontal="center" vertical="center" wrapText="1"/>
    </xf>
    <xf numFmtId="165" fontId="9" fillId="6" borderId="10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7" fillId="0" borderId="0" xfId="0" applyFont="1"/>
    <xf numFmtId="165" fontId="9" fillId="6" borderId="42" xfId="4" applyFont="1" applyFill="1" applyBorder="1" applyAlignment="1">
      <alignment horizontal="center" vertical="center" wrapText="1"/>
    </xf>
    <xf numFmtId="0" fontId="20" fillId="5" borderId="0" xfId="0" applyFont="1" applyFill="1"/>
    <xf numFmtId="49" fontId="20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52" xfId="4" applyNumberFormat="1" applyFont="1" applyFill="1" applyBorder="1" applyAlignment="1">
      <alignment horizontal="center" vertical="center"/>
    </xf>
    <xf numFmtId="166" fontId="21" fillId="6" borderId="53" xfId="4" applyNumberFormat="1" applyFont="1" applyFill="1" applyBorder="1" applyAlignment="1">
      <alignment horizontal="center" vertical="center" wrapText="1"/>
    </xf>
    <xf numFmtId="166" fontId="22" fillId="6" borderId="54" xfId="4" applyNumberFormat="1" applyFont="1" applyFill="1" applyBorder="1" applyAlignment="1">
      <alignment horizontal="center" vertical="center" wrapText="1"/>
    </xf>
    <xf numFmtId="164" fontId="6" fillId="0" borderId="21" xfId="2" applyNumberFormat="1" applyFont="1" applyBorder="1" applyAlignment="1" applyProtection="1">
      <alignment horizontal="left" vertical="center"/>
      <protection locked="0"/>
    </xf>
    <xf numFmtId="164" fontId="6" fillId="0" borderId="23" xfId="2" applyNumberFormat="1" applyFont="1" applyBorder="1" applyAlignment="1" applyProtection="1">
      <alignment horizontal="left" vertical="center"/>
      <protection locked="0"/>
    </xf>
    <xf numFmtId="164" fontId="6" fillId="0" borderId="32" xfId="2" applyNumberFormat="1" applyFont="1" applyBorder="1" applyAlignment="1" applyProtection="1">
      <alignment horizontal="left" vertical="center"/>
      <protection locked="0"/>
    </xf>
    <xf numFmtId="164" fontId="6" fillId="0" borderId="33" xfId="2" applyNumberFormat="1" applyFont="1" applyBorder="1" applyAlignment="1" applyProtection="1">
      <alignment horizontal="left" vertical="center"/>
      <protection locked="0"/>
    </xf>
    <xf numFmtId="0" fontId="7" fillId="0" borderId="26" xfId="2" applyFont="1" applyBorder="1" applyAlignment="1" applyProtection="1">
      <alignment horizontal="left" vertical="center"/>
      <protection locked="0"/>
    </xf>
    <xf numFmtId="0" fontId="6" fillId="0" borderId="26" xfId="2" applyFont="1" applyBorder="1" applyAlignment="1" applyProtection="1">
      <alignment horizontal="left" vertical="center"/>
      <protection locked="0"/>
    </xf>
    <xf numFmtId="14" fontId="7" fillId="0" borderId="33" xfId="2" applyNumberFormat="1" applyFont="1" applyBorder="1" applyAlignment="1" applyProtection="1">
      <alignment horizontal="left" vertical="center"/>
      <protection locked="0"/>
    </xf>
    <xf numFmtId="164" fontId="6" fillId="0" borderId="51" xfId="2" applyNumberFormat="1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left" vertical="center" wrapText="1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64" xfId="0" applyFont="1" applyBorder="1" applyAlignment="1">
      <alignment horizontal="left" vertical="center" wrapText="1"/>
    </xf>
    <xf numFmtId="0" fontId="10" fillId="0" borderId="65" xfId="0" applyFont="1" applyBorder="1" applyAlignment="1">
      <alignment horizontal="left" vertical="center" wrapText="1"/>
    </xf>
    <xf numFmtId="0" fontId="10" fillId="0" borderId="6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49" fontId="10" fillId="0" borderId="7" xfId="0" applyNumberFormat="1" applyFont="1" applyBorder="1" applyAlignment="1">
      <alignment horizontal="left" vertical="center" wrapText="1"/>
    </xf>
    <xf numFmtId="0" fontId="10" fillId="0" borderId="69" xfId="0" applyFont="1" applyBorder="1" applyAlignment="1">
      <alignment horizontal="left" vertical="center" wrapText="1"/>
    </xf>
    <xf numFmtId="10" fontId="10" fillId="17" borderId="69" xfId="0" applyNumberFormat="1" applyFont="1" applyFill="1" applyBorder="1" applyAlignment="1">
      <alignment horizontal="center" vertical="center"/>
    </xf>
    <xf numFmtId="10" fontId="10" fillId="17" borderId="14" xfId="0" applyNumberFormat="1" applyFont="1" applyFill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0" fontId="10" fillId="0" borderId="72" xfId="0" applyFont="1" applyBorder="1" applyAlignment="1">
      <alignment horizontal="left" vertical="center" wrapText="1"/>
    </xf>
    <xf numFmtId="49" fontId="10" fillId="0" borderId="66" xfId="0" applyNumberFormat="1" applyFont="1" applyBorder="1" applyAlignment="1">
      <alignment horizontal="left" vertical="center" wrapText="1"/>
    </xf>
    <xf numFmtId="10" fontId="9" fillId="6" borderId="80" xfId="5" applyNumberFormat="1" applyFont="1" applyFill="1" applyBorder="1" applyAlignment="1">
      <alignment horizontal="center" vertical="center" wrapText="1"/>
    </xf>
    <xf numFmtId="37" fontId="9" fillId="6" borderId="74" xfId="3" applyNumberFormat="1" applyFont="1" applyFill="1" applyBorder="1" applyAlignment="1">
      <alignment horizontal="center" vertical="center"/>
    </xf>
    <xf numFmtId="37" fontId="9" fillId="6" borderId="75" xfId="3" applyNumberFormat="1" applyFont="1" applyFill="1" applyBorder="1" applyAlignment="1">
      <alignment horizontal="center" vertical="center"/>
    </xf>
    <xf numFmtId="40" fontId="9" fillId="6" borderId="75" xfId="4" applyNumberFormat="1" applyFont="1" applyFill="1" applyBorder="1" applyAlignment="1">
      <alignment horizontal="center" vertical="center"/>
    </xf>
    <xf numFmtId="165" fontId="9" fillId="6" borderId="75" xfId="4" applyFont="1" applyFill="1" applyBorder="1" applyAlignment="1">
      <alignment horizontal="right" vertical="center"/>
    </xf>
    <xf numFmtId="40" fontId="9" fillId="6" borderId="75" xfId="4" applyNumberFormat="1" applyFont="1" applyFill="1" applyBorder="1" applyAlignment="1">
      <alignment horizontal="center" vertical="center" wrapText="1"/>
    </xf>
    <xf numFmtId="10" fontId="9" fillId="6" borderId="75" xfId="5" applyNumberFormat="1" applyFont="1" applyFill="1" applyBorder="1" applyAlignment="1">
      <alignment horizontal="center" vertical="center" wrapText="1"/>
    </xf>
    <xf numFmtId="165" fontId="9" fillId="6" borderId="75" xfId="4" applyFont="1" applyFill="1" applyBorder="1" applyAlignment="1">
      <alignment horizontal="center" vertical="center" wrapText="1"/>
    </xf>
    <xf numFmtId="0" fontId="4" fillId="6" borderId="39" xfId="3" applyFont="1" applyFill="1" applyBorder="1" applyAlignment="1">
      <alignment horizontal="left" vertical="center"/>
    </xf>
    <xf numFmtId="0" fontId="4" fillId="6" borderId="38" xfId="3" applyFont="1" applyFill="1" applyBorder="1" applyAlignment="1">
      <alignment horizontal="center" vertical="center"/>
    </xf>
    <xf numFmtId="0" fontId="11" fillId="6" borderId="38" xfId="3" applyFont="1" applyFill="1" applyBorder="1" applyAlignment="1">
      <alignment horizontal="center" vertical="center"/>
    </xf>
    <xf numFmtId="167" fontId="11" fillId="6" borderId="38" xfId="3" applyNumberFormat="1" applyFont="1" applyFill="1" applyBorder="1" applyAlignment="1">
      <alignment horizontal="center" vertical="center" wrapText="1"/>
    </xf>
    <xf numFmtId="0" fontId="11" fillId="6" borderId="38" xfId="3" applyFont="1" applyFill="1" applyBorder="1" applyAlignment="1">
      <alignment horizontal="center" vertical="center" wrapText="1"/>
    </xf>
    <xf numFmtId="9" fontId="11" fillId="6" borderId="38" xfId="1" applyFont="1" applyFill="1" applyBorder="1" applyAlignment="1">
      <alignment horizontal="center" vertical="center" wrapText="1"/>
    </xf>
    <xf numFmtId="10" fontId="11" fillId="6" borderId="38" xfId="1" applyNumberFormat="1" applyFont="1" applyFill="1" applyBorder="1" applyAlignment="1">
      <alignment horizontal="center" vertical="center" wrapText="1"/>
    </xf>
    <xf numFmtId="0" fontId="11" fillId="6" borderId="40" xfId="3" applyFont="1" applyFill="1" applyBorder="1" applyAlignment="1">
      <alignment horizontal="center" vertical="center" wrapText="1"/>
    </xf>
    <xf numFmtId="0" fontId="31" fillId="18" borderId="5" xfId="0" applyFont="1" applyFill="1" applyBorder="1"/>
    <xf numFmtId="0" fontId="31" fillId="18" borderId="41" xfId="0" applyFont="1" applyFill="1" applyBorder="1"/>
    <xf numFmtId="0" fontId="31" fillId="18" borderId="41" xfId="0" applyFont="1" applyFill="1" applyBorder="1" applyAlignment="1">
      <alignment horizontal="center"/>
    </xf>
    <xf numFmtId="0" fontId="31" fillId="18" borderId="5" xfId="0" applyFont="1" applyFill="1" applyBorder="1" applyAlignment="1">
      <alignment horizontal="center"/>
    </xf>
    <xf numFmtId="9" fontId="31" fillId="18" borderId="17" xfId="1" applyFont="1" applyFill="1" applyBorder="1"/>
    <xf numFmtId="1" fontId="10" fillId="15" borderId="11" xfId="0" applyNumberFormat="1" applyFont="1" applyFill="1" applyBorder="1" applyAlignment="1">
      <alignment vertical="center"/>
    </xf>
    <xf numFmtId="9" fontId="10" fillId="16" borderId="11" xfId="1" applyFont="1" applyFill="1" applyBorder="1" applyAlignment="1">
      <alignment vertical="center"/>
    </xf>
    <xf numFmtId="1" fontId="10" fillId="15" borderId="68" xfId="0" applyNumberFormat="1" applyFont="1" applyFill="1" applyBorder="1" applyAlignment="1">
      <alignment vertical="center"/>
    </xf>
    <xf numFmtId="9" fontId="10" fillId="16" borderId="68" xfId="1" applyFont="1" applyFill="1" applyBorder="1" applyAlignment="1">
      <alignment vertical="center"/>
    </xf>
    <xf numFmtId="44" fontId="31" fillId="18" borderId="41" xfId="0" applyNumberFormat="1" applyFont="1" applyFill="1" applyBorder="1"/>
    <xf numFmtId="0" fontId="10" fillId="0" borderId="53" xfId="0" applyFont="1" applyBorder="1" applyAlignment="1">
      <alignment horizontal="left" vertical="center" wrapText="1"/>
    </xf>
    <xf numFmtId="0" fontId="11" fillId="14" borderId="40" xfId="0" applyFont="1" applyFill="1" applyBorder="1" applyAlignment="1">
      <alignment horizontal="center" vertical="center"/>
    </xf>
    <xf numFmtId="0" fontId="2" fillId="14" borderId="76" xfId="0" applyFont="1" applyFill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1" fontId="10" fillId="15" borderId="90" xfId="0" applyNumberFormat="1" applyFont="1" applyFill="1" applyBorder="1" applyAlignment="1">
      <alignment horizontal="center" vertical="center"/>
    </xf>
    <xf numFmtId="1" fontId="10" fillId="15" borderId="68" xfId="0" applyNumberFormat="1" applyFont="1" applyFill="1" applyBorder="1" applyAlignment="1">
      <alignment horizontal="center" vertical="center"/>
    </xf>
    <xf numFmtId="0" fontId="10" fillId="0" borderId="85" xfId="0" applyFont="1" applyBorder="1" applyAlignment="1">
      <alignment horizontal="left" vertical="center" wrapText="1"/>
    </xf>
    <xf numFmtId="1" fontId="10" fillId="15" borderId="89" xfId="0" applyNumberFormat="1" applyFont="1" applyFill="1" applyBorder="1" applyAlignment="1">
      <alignment horizontal="center" vertical="center"/>
    </xf>
    <xf numFmtId="1" fontId="10" fillId="15" borderId="11" xfId="0" applyNumberFormat="1" applyFont="1" applyFill="1" applyBorder="1" applyAlignment="1">
      <alignment horizontal="center" vertical="center"/>
    </xf>
    <xf numFmtId="9" fontId="32" fillId="0" borderId="0" xfId="1" applyFont="1" applyAlignment="1">
      <alignment horizontal="left"/>
    </xf>
    <xf numFmtId="170" fontId="3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center"/>
    </xf>
    <xf numFmtId="170" fontId="2" fillId="0" borderId="0" xfId="0" applyNumberFormat="1" applyFont="1" applyAlignment="1">
      <alignment horizontal="right" vertical="center"/>
    </xf>
    <xf numFmtId="0" fontId="33" fillId="19" borderId="77" xfId="0" applyFont="1" applyFill="1" applyBorder="1" applyAlignment="1">
      <alignment horizontal="left" vertical="center"/>
    </xf>
    <xf numFmtId="170" fontId="33" fillId="19" borderId="78" xfId="0" applyNumberFormat="1" applyFont="1" applyFill="1" applyBorder="1" applyAlignment="1">
      <alignment horizontal="right" vertical="center"/>
    </xf>
    <xf numFmtId="170" fontId="33" fillId="19" borderId="79" xfId="0" applyNumberFormat="1" applyFont="1" applyFill="1" applyBorder="1" applyAlignment="1">
      <alignment horizontal="right" vertical="center"/>
    </xf>
    <xf numFmtId="164" fontId="6" fillId="0" borderId="97" xfId="2" applyNumberFormat="1" applyFont="1" applyBorder="1" applyAlignment="1" applyProtection="1">
      <alignment horizontal="left" vertical="center"/>
      <protection locked="0"/>
    </xf>
    <xf numFmtId="164" fontId="6" fillId="0" borderId="98" xfId="2" applyNumberFormat="1" applyFont="1" applyBorder="1" applyAlignment="1" applyProtection="1">
      <alignment horizontal="left" vertical="center"/>
      <protection locked="0"/>
    </xf>
    <xf numFmtId="164" fontId="6" fillId="0" borderId="17" xfId="2" applyNumberFormat="1" applyFont="1" applyBorder="1" applyAlignment="1" applyProtection="1">
      <alignment horizontal="left" vertical="center"/>
      <protection locked="0"/>
    </xf>
    <xf numFmtId="164" fontId="6" fillId="0" borderId="99" xfId="2" applyNumberFormat="1" applyFont="1" applyBorder="1" applyAlignment="1" applyProtection="1">
      <alignment horizontal="left" vertical="center"/>
      <protection locked="0"/>
    </xf>
    <xf numFmtId="164" fontId="6" fillId="0" borderId="100" xfId="2" applyNumberFormat="1" applyFont="1" applyBorder="1" applyAlignment="1" applyProtection="1">
      <alignment horizontal="left" vertical="center"/>
      <protection locked="0"/>
    </xf>
    <xf numFmtId="0" fontId="7" fillId="0" borderId="101" xfId="2" applyFont="1" applyBorder="1" applyAlignment="1" applyProtection="1">
      <alignment horizontal="left" vertical="center"/>
      <protection locked="0"/>
    </xf>
    <xf numFmtId="0" fontId="6" fillId="0" borderId="101" xfId="2" applyFont="1" applyBorder="1" applyAlignment="1" applyProtection="1">
      <alignment horizontal="left" vertical="center"/>
      <protection locked="0"/>
    </xf>
    <xf numFmtId="14" fontId="7" fillId="0" borderId="100" xfId="2" applyNumberFormat="1" applyFont="1" applyBorder="1" applyAlignment="1" applyProtection="1">
      <alignment horizontal="left" vertical="center"/>
      <protection locked="0"/>
    </xf>
    <xf numFmtId="0" fontId="6" fillId="0" borderId="102" xfId="2" applyFont="1" applyBorder="1" applyAlignment="1" applyProtection="1">
      <alignment horizontal="left" vertical="center"/>
      <protection locked="0"/>
    </xf>
    <xf numFmtId="170" fontId="34" fillId="21" borderId="0" xfId="0" applyNumberFormat="1" applyFont="1" applyFill="1" applyAlignment="1">
      <alignment horizontal="left"/>
    </xf>
    <xf numFmtId="9" fontId="34" fillId="21" borderId="0" xfId="1" applyFont="1" applyFill="1" applyAlignment="1">
      <alignment horizontal="left"/>
    </xf>
    <xf numFmtId="170" fontId="30" fillId="12" borderId="71" xfId="0" applyNumberFormat="1" applyFont="1" applyFill="1" applyBorder="1" applyAlignment="1">
      <alignment horizontal="right" vertical="center"/>
    </xf>
    <xf numFmtId="170" fontId="30" fillId="12" borderId="86" xfId="0" applyNumberFormat="1" applyFont="1" applyFill="1" applyBorder="1" applyAlignment="1">
      <alignment horizontal="right" vertical="center"/>
    </xf>
    <xf numFmtId="44" fontId="31" fillId="13" borderId="0" xfId="9" applyFont="1" applyFill="1" applyBorder="1" applyAlignment="1">
      <alignment vertical="center"/>
    </xf>
    <xf numFmtId="44" fontId="20" fillId="16" borderId="69" xfId="9" applyFont="1" applyFill="1" applyBorder="1" applyAlignment="1">
      <alignment vertical="center"/>
    </xf>
    <xf numFmtId="44" fontId="20" fillId="16" borderId="96" xfId="9" applyFont="1" applyFill="1" applyBorder="1" applyAlignment="1">
      <alignment vertical="center"/>
    </xf>
    <xf numFmtId="44" fontId="30" fillId="12" borderId="69" xfId="9" applyFont="1" applyFill="1" applyBorder="1" applyAlignment="1">
      <alignment horizontal="right"/>
    </xf>
    <xf numFmtId="44" fontId="20" fillId="17" borderId="69" xfId="9" applyFont="1" applyFill="1" applyBorder="1" applyAlignment="1">
      <alignment vertical="center"/>
    </xf>
    <xf numFmtId="44" fontId="20" fillId="16" borderId="73" xfId="9" applyFont="1" applyFill="1" applyBorder="1" applyAlignment="1">
      <alignment vertical="center"/>
    </xf>
    <xf numFmtId="44" fontId="30" fillId="12" borderId="71" xfId="0" applyNumberFormat="1" applyFont="1" applyFill="1" applyBorder="1" applyAlignment="1">
      <alignment horizontal="right" vertical="center"/>
    </xf>
    <xf numFmtId="44" fontId="20" fillId="17" borderId="71" xfId="0" applyNumberFormat="1" applyFont="1" applyFill="1" applyBorder="1" applyAlignment="1">
      <alignment vertical="center"/>
    </xf>
    <xf numFmtId="44" fontId="20" fillId="16" borderId="71" xfId="0" applyNumberFormat="1" applyFont="1" applyFill="1" applyBorder="1" applyAlignment="1">
      <alignment vertical="center"/>
    </xf>
    <xf numFmtId="44" fontId="31" fillId="18" borderId="110" xfId="0" applyNumberFormat="1" applyFont="1" applyFill="1" applyBorder="1"/>
    <xf numFmtId="4" fontId="31" fillId="18" borderId="41" xfId="0" applyNumberFormat="1" applyFont="1" applyFill="1" applyBorder="1"/>
    <xf numFmtId="0" fontId="30" fillId="12" borderId="9" xfId="0" applyFont="1" applyFill="1" applyBorder="1" applyAlignment="1">
      <alignment vertical="center"/>
    </xf>
    <xf numFmtId="0" fontId="30" fillId="12" borderId="109" xfId="0" applyFont="1" applyFill="1" applyBorder="1" applyAlignment="1">
      <alignment vertical="center"/>
    </xf>
    <xf numFmtId="0" fontId="30" fillId="12" borderId="109" xfId="0" applyFont="1" applyFill="1" applyBorder="1" applyAlignment="1">
      <alignment horizontal="center" vertical="center"/>
    </xf>
    <xf numFmtId="0" fontId="2" fillId="14" borderId="95" xfId="0" applyFont="1" applyFill="1" applyBorder="1" applyAlignment="1">
      <alignment horizontal="center" vertical="center"/>
    </xf>
    <xf numFmtId="170" fontId="30" fillId="12" borderId="111" xfId="0" applyNumberFormat="1" applyFont="1" applyFill="1" applyBorder="1" applyAlignment="1">
      <alignment horizontal="right"/>
    </xf>
    <xf numFmtId="170" fontId="0" fillId="0" borderId="0" xfId="0" applyNumberFormat="1"/>
    <xf numFmtId="170" fontId="0" fillId="0" borderId="113" xfId="0" applyNumberFormat="1" applyBorder="1" applyAlignment="1">
      <alignment horizontal="right" vertical="center"/>
    </xf>
    <xf numFmtId="0" fontId="2" fillId="13" borderId="84" xfId="0" applyFont="1" applyFill="1" applyBorder="1" applyAlignment="1">
      <alignment horizontal="left" vertical="center"/>
    </xf>
    <xf numFmtId="170" fontId="0" fillId="13" borderId="84" xfId="0" applyNumberFormat="1" applyFill="1" applyBorder="1" applyAlignment="1">
      <alignment horizontal="right" vertical="center"/>
    </xf>
    <xf numFmtId="0" fontId="2" fillId="13" borderId="0" xfId="0" applyFont="1" applyFill="1" applyAlignment="1">
      <alignment horizontal="left" vertical="center"/>
    </xf>
    <xf numFmtId="170" fontId="0" fillId="13" borderId="0" xfId="0" applyNumberFormat="1" applyFill="1" applyAlignment="1">
      <alignment horizontal="right" vertical="center"/>
    </xf>
    <xf numFmtId="0" fontId="2" fillId="22" borderId="114" xfId="0" applyFont="1" applyFill="1" applyBorder="1" applyAlignment="1">
      <alignment horizontal="left" vertical="center"/>
    </xf>
    <xf numFmtId="170" fontId="0" fillId="22" borderId="115" xfId="0" applyNumberFormat="1" applyFill="1" applyBorder="1" applyAlignment="1">
      <alignment horizontal="right" vertical="center"/>
    </xf>
    <xf numFmtId="0" fontId="2" fillId="0" borderId="116" xfId="0" applyFont="1" applyBorder="1" applyAlignment="1">
      <alignment horizontal="left" vertical="center"/>
    </xf>
    <xf numFmtId="170" fontId="0" fillId="20" borderId="117" xfId="0" applyNumberFormat="1" applyFill="1" applyBorder="1" applyAlignment="1">
      <alignment horizontal="right" vertical="center"/>
    </xf>
    <xf numFmtId="0" fontId="2" fillId="0" borderId="118" xfId="0" applyFont="1" applyBorder="1" applyAlignment="1">
      <alignment horizontal="left" vertical="center"/>
    </xf>
    <xf numFmtId="170" fontId="0" fillId="20" borderId="119" xfId="0" applyNumberFormat="1" applyFill="1" applyBorder="1" applyAlignment="1">
      <alignment horizontal="right" vertical="center"/>
    </xf>
    <xf numFmtId="0" fontId="2" fillId="0" borderId="72" xfId="0" applyFont="1" applyBorder="1" applyAlignment="1">
      <alignment horizontal="left" vertical="center"/>
    </xf>
    <xf numFmtId="170" fontId="0" fillId="0" borderId="69" xfId="0" applyNumberFormat="1" applyBorder="1" applyAlignment="1">
      <alignment horizontal="right" vertical="center"/>
    </xf>
    <xf numFmtId="170" fontId="0" fillId="20" borderId="73" xfId="0" applyNumberFormat="1" applyFill="1" applyBorder="1" applyAlignment="1">
      <alignment horizontal="right" vertical="center"/>
    </xf>
    <xf numFmtId="0" fontId="2" fillId="13" borderId="114" xfId="0" applyFont="1" applyFill="1" applyBorder="1" applyAlignment="1">
      <alignment horizontal="left" vertical="center"/>
    </xf>
    <xf numFmtId="170" fontId="0" fillId="13" borderId="115" xfId="0" applyNumberFormat="1" applyFill="1" applyBorder="1" applyAlignment="1">
      <alignment horizontal="right" vertical="center"/>
    </xf>
    <xf numFmtId="0" fontId="2" fillId="13" borderId="19" xfId="0" applyFont="1" applyFill="1" applyBorder="1" applyAlignment="1">
      <alignment horizontal="left" vertical="center"/>
    </xf>
    <xf numFmtId="165" fontId="9" fillId="6" borderId="95" xfId="4" applyFont="1" applyFill="1" applyBorder="1" applyAlignment="1">
      <alignment horizontal="center" vertical="center" wrapText="1"/>
    </xf>
    <xf numFmtId="170" fontId="0" fillId="0" borderId="120" xfId="0" applyNumberFormat="1" applyBorder="1" applyAlignment="1">
      <alignment horizontal="right" vertical="center"/>
    </xf>
    <xf numFmtId="169" fontId="2" fillId="0" borderId="110" xfId="1" applyNumberFormat="1" applyFont="1" applyBorder="1"/>
    <xf numFmtId="44" fontId="20" fillId="16" borderId="111" xfId="9" applyFont="1" applyFill="1" applyBorder="1"/>
    <xf numFmtId="0" fontId="0" fillId="0" borderId="112" xfId="0" applyBorder="1"/>
    <xf numFmtId="0" fontId="0" fillId="0" borderId="111" xfId="0" applyBorder="1"/>
    <xf numFmtId="0" fontId="0" fillId="0" borderId="107" xfId="0" applyBorder="1"/>
    <xf numFmtId="170" fontId="30" fillId="12" borderId="69" xfId="9" applyNumberFormat="1" applyFont="1" applyFill="1" applyBorder="1" applyAlignment="1">
      <alignment horizontal="right"/>
    </xf>
    <xf numFmtId="170" fontId="30" fillId="12" borderId="73" xfId="9" applyNumberFormat="1" applyFont="1" applyFill="1" applyBorder="1" applyAlignment="1">
      <alignment horizontal="right"/>
    </xf>
    <xf numFmtId="44" fontId="30" fillId="12" borderId="69" xfId="0" applyNumberFormat="1" applyFont="1" applyFill="1" applyBorder="1" applyAlignment="1">
      <alignment horizontal="right" vertical="center"/>
    </xf>
    <xf numFmtId="44" fontId="20" fillId="17" borderId="69" xfId="0" applyNumberFormat="1" applyFont="1" applyFill="1" applyBorder="1" applyAlignment="1">
      <alignment vertical="center"/>
    </xf>
    <xf numFmtId="44" fontId="20" fillId="16" borderId="69" xfId="0" applyNumberFormat="1" applyFont="1" applyFill="1" applyBorder="1" applyAlignment="1">
      <alignment vertical="center"/>
    </xf>
    <xf numFmtId="44" fontId="30" fillId="12" borderId="69" xfId="0" applyNumberFormat="1" applyFont="1" applyFill="1" applyBorder="1" applyAlignment="1">
      <alignment horizontal="right"/>
    </xf>
    <xf numFmtId="44" fontId="20" fillId="17" borderId="69" xfId="0" applyNumberFormat="1" applyFont="1" applyFill="1" applyBorder="1"/>
    <xf numFmtId="44" fontId="20" fillId="16" borderId="69" xfId="0" applyNumberFormat="1" applyFont="1" applyFill="1" applyBorder="1"/>
    <xf numFmtId="44" fontId="20" fillId="16" borderId="73" xfId="9" applyFont="1" applyFill="1" applyBorder="1"/>
    <xf numFmtId="0" fontId="30" fillId="12" borderId="125" xfId="0" applyFont="1" applyFill="1" applyBorder="1"/>
    <xf numFmtId="0" fontId="30" fillId="12" borderId="113" xfId="0" applyFont="1" applyFill="1" applyBorder="1"/>
    <xf numFmtId="0" fontId="30" fillId="12" borderId="113" xfId="0" applyFont="1" applyFill="1" applyBorder="1" applyAlignment="1">
      <alignment horizontal="center"/>
    </xf>
    <xf numFmtId="0" fontId="2" fillId="0" borderId="125" xfId="0" applyFont="1" applyBorder="1" applyAlignment="1">
      <alignment horizontal="left" vertical="center"/>
    </xf>
    <xf numFmtId="170" fontId="0" fillId="20" borderId="126" xfId="0" applyNumberFormat="1" applyFill="1" applyBorder="1" applyAlignment="1">
      <alignment horizontal="right" vertical="center"/>
    </xf>
    <xf numFmtId="170" fontId="30" fillId="12" borderId="71" xfId="9" applyNumberFormat="1" applyFont="1" applyFill="1" applyBorder="1" applyAlignment="1">
      <alignment horizontal="right"/>
    </xf>
    <xf numFmtId="170" fontId="30" fillId="12" borderId="86" xfId="9" applyNumberFormat="1" applyFont="1" applyFill="1" applyBorder="1" applyAlignment="1">
      <alignment horizontal="right"/>
    </xf>
    <xf numFmtId="170" fontId="30" fillId="12" borderId="78" xfId="9" applyNumberFormat="1" applyFont="1" applyFill="1" applyBorder="1" applyAlignment="1">
      <alignment horizontal="right"/>
    </xf>
    <xf numFmtId="170" fontId="30" fillId="12" borderId="79" xfId="9" applyNumberFormat="1" applyFont="1" applyFill="1" applyBorder="1" applyAlignment="1">
      <alignment horizontal="right"/>
    </xf>
    <xf numFmtId="44" fontId="31" fillId="18" borderId="127" xfId="0" applyNumberFormat="1" applyFont="1" applyFill="1" applyBorder="1"/>
    <xf numFmtId="0" fontId="30" fillId="12" borderId="93" xfId="0" applyFont="1" applyFill="1" applyBorder="1" applyAlignment="1">
      <alignment vertical="center"/>
    </xf>
    <xf numFmtId="0" fontId="30" fillId="12" borderId="83" xfId="0" applyFont="1" applyFill="1" applyBorder="1" applyAlignment="1">
      <alignment vertical="center"/>
    </xf>
    <xf numFmtId="0" fontId="30" fillId="12" borderId="83" xfId="0" applyFont="1" applyFill="1" applyBorder="1" applyAlignment="1">
      <alignment horizontal="center" vertical="center"/>
    </xf>
    <xf numFmtId="170" fontId="30" fillId="12" borderId="83" xfId="0" applyNumberFormat="1" applyFont="1" applyFill="1" applyBorder="1" applyAlignment="1">
      <alignment horizontal="right" vertical="center"/>
    </xf>
    <xf numFmtId="170" fontId="30" fillId="12" borderId="94" xfId="0" applyNumberFormat="1" applyFont="1" applyFill="1" applyBorder="1" applyAlignment="1">
      <alignment horizontal="right" vertical="center"/>
    </xf>
    <xf numFmtId="0" fontId="30" fillId="12" borderId="93" xfId="0" applyFont="1" applyFill="1" applyBorder="1"/>
    <xf numFmtId="0" fontId="30" fillId="12" borderId="83" xfId="0" applyFont="1" applyFill="1" applyBorder="1"/>
    <xf numFmtId="0" fontId="30" fillId="12" borderId="83" xfId="0" applyFont="1" applyFill="1" applyBorder="1" applyAlignment="1">
      <alignment horizontal="center"/>
    </xf>
    <xf numFmtId="170" fontId="30" fillId="12" borderId="83" xfId="0" applyNumberFormat="1" applyFont="1" applyFill="1" applyBorder="1" applyAlignment="1">
      <alignment horizontal="right"/>
    </xf>
    <xf numFmtId="0" fontId="39" fillId="0" borderId="0" xfId="0" applyFont="1"/>
    <xf numFmtId="49" fontId="36" fillId="0" borderId="0" xfId="2" applyNumberFormat="1" applyFont="1" applyAlignment="1">
      <alignment horizontal="left" vertical="center" wrapText="1"/>
    </xf>
    <xf numFmtId="0" fontId="36" fillId="0" borderId="0" xfId="2" applyFont="1" applyAlignment="1">
      <alignment horizontal="left" vertical="center" wrapText="1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4" fontId="36" fillId="0" borderId="0" xfId="2" applyNumberFormat="1" applyFont="1" applyAlignment="1">
      <alignment horizontal="left" vertical="center"/>
    </xf>
    <xf numFmtId="164" fontId="36" fillId="0" borderId="97" xfId="2" applyNumberFormat="1" applyFont="1" applyBorder="1" applyAlignment="1" applyProtection="1">
      <alignment horizontal="left" vertical="center"/>
      <protection locked="0"/>
    </xf>
    <xf numFmtId="164" fontId="36" fillId="0" borderId="99" xfId="2" applyNumberFormat="1" applyFont="1" applyBorder="1" applyAlignment="1" applyProtection="1">
      <alignment horizontal="left" vertical="center"/>
      <protection locked="0"/>
    </xf>
    <xf numFmtId="164" fontId="36" fillId="0" borderId="98" xfId="2" applyNumberFormat="1" applyFont="1" applyBorder="1" applyAlignment="1" applyProtection="1">
      <alignment horizontal="left" vertical="center"/>
      <protection locked="0"/>
    </xf>
    <xf numFmtId="164" fontId="36" fillId="0" borderId="100" xfId="2" applyNumberFormat="1" applyFont="1" applyBorder="1" applyAlignment="1" applyProtection="1">
      <alignment horizontal="left" vertical="center"/>
      <protection locked="0"/>
    </xf>
    <xf numFmtId="0" fontId="36" fillId="0" borderId="101" xfId="2" applyFont="1" applyBorder="1" applyAlignment="1" applyProtection="1">
      <alignment horizontal="left" vertical="center"/>
      <protection locked="0"/>
    </xf>
    <xf numFmtId="14" fontId="36" fillId="0" borderId="100" xfId="2" applyNumberFormat="1" applyFont="1" applyBorder="1" applyAlignment="1" applyProtection="1">
      <alignment horizontal="left" vertical="center"/>
      <protection locked="0"/>
    </xf>
    <xf numFmtId="164" fontId="36" fillId="0" borderId="17" xfId="2" applyNumberFormat="1" applyFont="1" applyBorder="1" applyAlignment="1" applyProtection="1">
      <alignment horizontal="left" vertical="center"/>
      <protection locked="0"/>
    </xf>
    <xf numFmtId="0" fontId="36" fillId="0" borderId="102" xfId="2" applyFont="1" applyBorder="1" applyAlignment="1" applyProtection="1">
      <alignment horizontal="left" vertical="center"/>
      <protection locked="0"/>
    </xf>
    <xf numFmtId="0" fontId="42" fillId="22" borderId="0" xfId="0" applyFont="1" applyFill="1" applyAlignment="1">
      <alignment horizontal="left" vertical="center"/>
    </xf>
    <xf numFmtId="0" fontId="39" fillId="22" borderId="0" xfId="0" applyFont="1" applyFill="1" applyAlignment="1">
      <alignment horizontal="center"/>
    </xf>
    <xf numFmtId="0" fontId="39" fillId="22" borderId="0" xfId="0" applyFont="1" applyFill="1"/>
    <xf numFmtId="49" fontId="39" fillId="0" borderId="0" xfId="0" applyNumberFormat="1" applyFont="1"/>
    <xf numFmtId="0" fontId="43" fillId="13" borderId="0" xfId="0" applyFont="1" applyFill="1"/>
    <xf numFmtId="0" fontId="39" fillId="0" borderId="0" xfId="1" applyNumberFormat="1" applyFont="1"/>
    <xf numFmtId="165" fontId="44" fillId="6" borderId="42" xfId="4" applyFont="1" applyFill="1" applyBorder="1" applyAlignment="1">
      <alignment horizontal="center" vertical="center" wrapText="1"/>
    </xf>
    <xf numFmtId="169" fontId="42" fillId="0" borderId="110" xfId="1" applyNumberFormat="1" applyFont="1" applyBorder="1"/>
    <xf numFmtId="166" fontId="44" fillId="0" borderId="55" xfId="4" applyNumberFormat="1" applyFont="1" applyBorder="1" applyAlignment="1">
      <alignment horizontal="center" vertical="center" wrapText="1"/>
    </xf>
    <xf numFmtId="0" fontId="45" fillId="5" borderId="0" xfId="0" applyFont="1" applyFill="1"/>
    <xf numFmtId="49" fontId="45" fillId="5" borderId="0" xfId="0" applyNumberFormat="1" applyFont="1" applyFill="1"/>
    <xf numFmtId="0" fontId="46" fillId="0" borderId="0" xfId="0" applyFont="1"/>
    <xf numFmtId="0" fontId="47" fillId="0" borderId="6" xfId="0" applyFont="1" applyBorder="1" applyAlignment="1">
      <alignment horizontal="left" vertical="center"/>
    </xf>
    <xf numFmtId="49" fontId="47" fillId="0" borderId="7" xfId="0" applyNumberFormat="1" applyFont="1" applyBorder="1" applyAlignment="1">
      <alignment horizontal="left" vertical="center"/>
    </xf>
    <xf numFmtId="0" fontId="47" fillId="0" borderId="8" xfId="0" applyFont="1" applyBorder="1" applyAlignment="1">
      <alignment horizontal="left" vertical="center"/>
    </xf>
    <xf numFmtId="0" fontId="47" fillId="0" borderId="6" xfId="0" applyFont="1" applyBorder="1" applyAlignment="1">
      <alignment horizontal="left" vertical="center" wrapText="1"/>
    </xf>
    <xf numFmtId="0" fontId="36" fillId="6" borderId="74" xfId="3" applyFont="1" applyFill="1" applyBorder="1" applyAlignment="1">
      <alignment horizontal="left" vertical="center"/>
    </xf>
    <xf numFmtId="0" fontId="36" fillId="6" borderId="75" xfId="3" applyFont="1" applyFill="1" applyBorder="1" applyAlignment="1">
      <alignment horizontal="center" vertical="center"/>
    </xf>
    <xf numFmtId="0" fontId="45" fillId="6" borderId="75" xfId="3" applyFont="1" applyFill="1" applyBorder="1" applyAlignment="1">
      <alignment horizontal="center" vertical="center"/>
    </xf>
    <xf numFmtId="167" fontId="45" fillId="6" borderId="75" xfId="3" applyNumberFormat="1" applyFont="1" applyFill="1" applyBorder="1" applyAlignment="1">
      <alignment horizontal="center" vertical="center" wrapText="1"/>
    </xf>
    <xf numFmtId="0" fontId="45" fillId="6" borderId="75" xfId="3" applyFont="1" applyFill="1" applyBorder="1" applyAlignment="1">
      <alignment horizontal="center" vertical="center" wrapText="1"/>
    </xf>
    <xf numFmtId="171" fontId="45" fillId="6" borderId="75" xfId="1" applyNumberFormat="1" applyFont="1" applyFill="1" applyBorder="1" applyAlignment="1">
      <alignment horizontal="center" vertical="center" wrapText="1"/>
    </xf>
    <xf numFmtId="10" fontId="45" fillId="6" borderId="75" xfId="1" applyNumberFormat="1" applyFont="1" applyFill="1" applyBorder="1" applyAlignment="1">
      <alignment horizontal="center" vertical="center" wrapText="1"/>
    </xf>
    <xf numFmtId="0" fontId="45" fillId="6" borderId="95" xfId="3" applyFont="1" applyFill="1" applyBorder="1" applyAlignment="1">
      <alignment horizontal="center" vertical="center" wrapText="1"/>
    </xf>
    <xf numFmtId="37" fontId="44" fillId="6" borderId="74" xfId="3" applyNumberFormat="1" applyFont="1" applyFill="1" applyBorder="1" applyAlignment="1">
      <alignment horizontal="center" vertical="center"/>
    </xf>
    <xf numFmtId="37" fontId="44" fillId="6" borderId="75" xfId="3" applyNumberFormat="1" applyFont="1" applyFill="1" applyBorder="1" applyAlignment="1">
      <alignment horizontal="center" vertical="center"/>
    </xf>
    <xf numFmtId="40" fontId="44" fillId="6" borderId="75" xfId="4" applyNumberFormat="1" applyFont="1" applyFill="1" applyBorder="1" applyAlignment="1">
      <alignment horizontal="center" vertical="center"/>
    </xf>
    <xf numFmtId="165" fontId="44" fillId="6" borderId="75" xfId="4" applyFont="1" applyFill="1" applyBorder="1" applyAlignment="1">
      <alignment horizontal="right" vertical="center"/>
    </xf>
    <xf numFmtId="40" fontId="44" fillId="6" borderId="75" xfId="4" applyNumberFormat="1" applyFont="1" applyFill="1" applyBorder="1" applyAlignment="1">
      <alignment horizontal="center" vertical="center" wrapText="1"/>
    </xf>
    <xf numFmtId="10" fontId="44" fillId="6" borderId="75" xfId="5" applyNumberFormat="1" applyFont="1" applyFill="1" applyBorder="1" applyAlignment="1">
      <alignment horizontal="center" vertical="center" wrapText="1"/>
    </xf>
    <xf numFmtId="165" fontId="44" fillId="6" borderId="75" xfId="4" applyFont="1" applyFill="1" applyBorder="1" applyAlignment="1">
      <alignment horizontal="center" vertical="center" wrapText="1"/>
    </xf>
    <xf numFmtId="165" fontId="44" fillId="6" borderId="95" xfId="4" applyFont="1" applyFill="1" applyBorder="1" applyAlignment="1">
      <alignment horizontal="center" vertical="center" wrapText="1"/>
    </xf>
    <xf numFmtId="10" fontId="44" fillId="6" borderId="80" xfId="5" applyNumberFormat="1" applyFont="1" applyFill="1" applyBorder="1" applyAlignment="1">
      <alignment horizontal="center" vertical="center" wrapText="1"/>
    </xf>
    <xf numFmtId="165" fontId="44" fillId="6" borderId="10" xfId="4" applyFont="1" applyFill="1" applyBorder="1" applyAlignment="1">
      <alignment horizontal="center" vertical="center" wrapText="1"/>
    </xf>
    <xf numFmtId="37" fontId="44" fillId="6" borderId="3" xfId="3" applyNumberFormat="1" applyFont="1" applyFill="1" applyBorder="1" applyAlignment="1">
      <alignment horizontal="center" vertical="center"/>
    </xf>
    <xf numFmtId="40" fontId="44" fillId="6" borderId="52" xfId="4" applyNumberFormat="1" applyFont="1" applyFill="1" applyBorder="1" applyAlignment="1">
      <alignment horizontal="center" vertical="center"/>
    </xf>
    <xf numFmtId="0" fontId="47" fillId="13" borderId="6" xfId="0" applyFont="1" applyFill="1" applyBorder="1" applyAlignment="1">
      <alignment horizontal="left" vertical="center" wrapText="1"/>
    </xf>
    <xf numFmtId="49" fontId="47" fillId="13" borderId="7" xfId="0" applyNumberFormat="1" applyFont="1" applyFill="1" applyBorder="1" applyAlignment="1">
      <alignment horizontal="left" vertical="center" wrapText="1"/>
    </xf>
    <xf numFmtId="0" fontId="47" fillId="13" borderId="8" xfId="0" applyFont="1" applyFill="1" applyBorder="1" applyAlignment="1">
      <alignment horizontal="left" vertical="center" wrapText="1"/>
    </xf>
    <xf numFmtId="0" fontId="39" fillId="13" borderId="0" xfId="0" applyFont="1" applyFill="1" applyAlignment="1">
      <alignment vertical="center"/>
    </xf>
    <xf numFmtId="0" fontId="45" fillId="13" borderId="72" xfId="0" applyFont="1" applyFill="1" applyBorder="1" applyAlignment="1">
      <alignment horizontal="left" vertical="center" wrapText="1"/>
    </xf>
    <xf numFmtId="0" fontId="47" fillId="13" borderId="69" xfId="0" applyFont="1" applyFill="1" applyBorder="1" applyAlignment="1">
      <alignment horizontal="left" vertical="center" wrapText="1"/>
    </xf>
    <xf numFmtId="0" fontId="47" fillId="13" borderId="69" xfId="0" applyFont="1" applyFill="1" applyBorder="1" applyAlignment="1">
      <alignment horizontal="center" vertical="center"/>
    </xf>
    <xf numFmtId="44" fontId="47" fillId="13" borderId="69" xfId="9" applyFont="1" applyFill="1" applyBorder="1" applyAlignment="1">
      <alignment vertical="center"/>
    </xf>
    <xf numFmtId="44" fontId="47" fillId="13" borderId="73" xfId="9" applyFont="1" applyFill="1" applyBorder="1" applyAlignment="1">
      <alignment vertical="center"/>
    </xf>
    <xf numFmtId="1" fontId="47" fillId="15" borderId="72" xfId="0" applyNumberFormat="1" applyFont="1" applyFill="1" applyBorder="1" applyAlignment="1">
      <alignment horizontal="center" vertical="center"/>
    </xf>
    <xf numFmtId="1" fontId="47" fillId="15" borderId="69" xfId="0" applyNumberFormat="1" applyFont="1" applyFill="1" applyBorder="1" applyAlignment="1">
      <alignment horizontal="center" vertical="center"/>
    </xf>
    <xf numFmtId="44" fontId="47" fillId="15" borderId="69" xfId="9" applyFont="1" applyFill="1" applyBorder="1" applyAlignment="1">
      <alignment vertical="center"/>
    </xf>
    <xf numFmtId="44" fontId="47" fillId="17" borderId="69" xfId="9" applyFont="1" applyFill="1" applyBorder="1" applyAlignment="1">
      <alignment vertical="center"/>
    </xf>
    <xf numFmtId="9" fontId="47" fillId="16" borderId="69" xfId="1" applyFont="1" applyFill="1" applyBorder="1" applyAlignment="1">
      <alignment vertical="center"/>
    </xf>
    <xf numFmtId="44" fontId="47" fillId="16" borderId="69" xfId="9" applyFont="1" applyFill="1" applyBorder="1" applyAlignment="1">
      <alignment vertical="center"/>
    </xf>
    <xf numFmtId="44" fontId="47" fillId="16" borderId="73" xfId="9" applyFont="1" applyFill="1" applyBorder="1" applyAlignment="1">
      <alignment vertical="center"/>
    </xf>
    <xf numFmtId="10" fontId="50" fillId="17" borderId="14" xfId="1" applyNumberFormat="1" applyFont="1" applyFill="1" applyBorder="1" applyAlignment="1">
      <alignment horizontal="center" vertical="center"/>
    </xf>
    <xf numFmtId="44" fontId="50" fillId="15" borderId="69" xfId="9" applyFont="1" applyFill="1" applyBorder="1" applyAlignment="1">
      <alignment vertical="center"/>
    </xf>
    <xf numFmtId="0" fontId="47" fillId="13" borderId="65" xfId="0" applyFont="1" applyFill="1" applyBorder="1" applyAlignment="1">
      <alignment horizontal="left" vertical="center" wrapText="1"/>
    </xf>
    <xf numFmtId="0" fontId="47" fillId="13" borderId="67" xfId="0" applyFont="1" applyFill="1" applyBorder="1" applyAlignment="1">
      <alignment horizontal="left" vertical="center" wrapText="1"/>
    </xf>
    <xf numFmtId="170" fontId="45" fillId="14" borderId="69" xfId="9" applyNumberFormat="1" applyFont="1" applyFill="1" applyBorder="1" applyAlignment="1">
      <alignment horizontal="center" vertical="center"/>
    </xf>
    <xf numFmtId="10" fontId="31" fillId="14" borderId="14" xfId="1" applyNumberFormat="1" applyFont="1" applyFill="1" applyBorder="1" applyAlignment="1">
      <alignment horizontal="center" vertical="center"/>
    </xf>
    <xf numFmtId="0" fontId="47" fillId="0" borderId="64" xfId="0" applyFont="1" applyBorder="1" applyAlignment="1">
      <alignment horizontal="left" vertical="center" wrapText="1"/>
    </xf>
    <xf numFmtId="49" fontId="47" fillId="0" borderId="7" xfId="0" applyNumberFormat="1" applyFont="1" applyBorder="1" applyAlignment="1">
      <alignment horizontal="left" vertical="center" wrapText="1"/>
    </xf>
    <xf numFmtId="0" fontId="47" fillId="0" borderId="0" xfId="0" applyFont="1" applyAlignment="1">
      <alignment horizontal="left" vertical="center" wrapText="1"/>
    </xf>
    <xf numFmtId="0" fontId="47" fillId="0" borderId="8" xfId="0" applyFont="1" applyBorder="1" applyAlignment="1">
      <alignment horizontal="left" vertical="center" wrapText="1"/>
    </xf>
    <xf numFmtId="0" fontId="42" fillId="14" borderId="87" xfId="0" applyFont="1" applyFill="1" applyBorder="1" applyAlignment="1">
      <alignment horizontal="center" vertical="center"/>
    </xf>
    <xf numFmtId="0" fontId="47" fillId="0" borderId="65" xfId="0" applyFont="1" applyBorder="1" applyAlignment="1">
      <alignment horizontal="left" vertical="center" wrapText="1"/>
    </xf>
    <xf numFmtId="0" fontId="47" fillId="0" borderId="67" xfId="0" applyFont="1" applyBorder="1" applyAlignment="1">
      <alignment horizontal="left" vertical="center" wrapText="1"/>
    </xf>
    <xf numFmtId="0" fontId="47" fillId="13" borderId="72" xfId="0" applyFont="1" applyFill="1" applyBorder="1" applyAlignment="1">
      <alignment horizontal="left" vertical="center" wrapText="1"/>
    </xf>
    <xf numFmtId="44" fontId="47" fillId="0" borderId="73" xfId="9" applyFont="1" applyBorder="1" applyAlignment="1">
      <alignment vertical="center"/>
    </xf>
    <xf numFmtId="10" fontId="47" fillId="17" borderId="14" xfId="0" applyNumberFormat="1" applyFont="1" applyFill="1" applyBorder="1" applyAlignment="1">
      <alignment horizontal="center" vertical="center"/>
    </xf>
    <xf numFmtId="0" fontId="47" fillId="0" borderId="69" xfId="0" applyFont="1" applyBorder="1" applyAlignment="1">
      <alignment horizontal="center" vertical="center"/>
    </xf>
    <xf numFmtId="44" fontId="47" fillId="0" borderId="69" xfId="9" applyFont="1" applyBorder="1" applyAlignment="1">
      <alignment vertical="center"/>
    </xf>
    <xf numFmtId="10" fontId="47" fillId="17" borderId="108" xfId="0" applyNumberFormat="1" applyFont="1" applyFill="1" applyBorder="1" applyAlignment="1">
      <alignment horizontal="center" vertical="center"/>
    </xf>
    <xf numFmtId="10" fontId="47" fillId="17" borderId="69" xfId="0" applyNumberFormat="1" applyFont="1" applyFill="1" applyBorder="1" applyAlignment="1">
      <alignment horizontal="center" vertical="center"/>
    </xf>
    <xf numFmtId="1" fontId="47" fillId="15" borderId="70" xfId="0" applyNumberFormat="1" applyFont="1" applyFill="1" applyBorder="1" applyAlignment="1">
      <alignment vertical="center"/>
    </xf>
    <xf numFmtId="44" fontId="47" fillId="15" borderId="70" xfId="9" applyFont="1" applyFill="1" applyBorder="1" applyAlignment="1">
      <alignment vertical="center"/>
    </xf>
    <xf numFmtId="44" fontId="49" fillId="15" borderId="70" xfId="9" applyFont="1" applyFill="1" applyBorder="1" applyAlignment="1">
      <alignment vertical="center"/>
    </xf>
    <xf numFmtId="44" fontId="47" fillId="17" borderId="70" xfId="9" applyFont="1" applyFill="1" applyBorder="1" applyAlignment="1">
      <alignment vertical="center"/>
    </xf>
    <xf numFmtId="9" fontId="47" fillId="16" borderId="70" xfId="1" applyFont="1" applyFill="1" applyBorder="1" applyAlignment="1">
      <alignment vertical="center"/>
    </xf>
    <xf numFmtId="44" fontId="47" fillId="16" borderId="70" xfId="9" applyFont="1" applyFill="1" applyBorder="1" applyAlignment="1">
      <alignment vertical="center"/>
    </xf>
    <xf numFmtId="44" fontId="47" fillId="16" borderId="54" xfId="9" applyFont="1" applyFill="1" applyBorder="1" applyAlignment="1">
      <alignment vertical="center"/>
    </xf>
    <xf numFmtId="44" fontId="47" fillId="15" borderId="11" xfId="9" applyFont="1" applyFill="1" applyBorder="1" applyAlignment="1">
      <alignment vertical="center"/>
    </xf>
    <xf numFmtId="44" fontId="47" fillId="17" borderId="11" xfId="9" applyFont="1" applyFill="1" applyBorder="1" applyAlignment="1">
      <alignment vertical="center"/>
    </xf>
    <xf numFmtId="9" fontId="47" fillId="16" borderId="11" xfId="1" applyFont="1" applyFill="1" applyBorder="1" applyAlignment="1">
      <alignment vertical="center"/>
    </xf>
    <xf numFmtId="44" fontId="47" fillId="16" borderId="11" xfId="9" applyFont="1" applyFill="1" applyBorder="1" applyAlignment="1">
      <alignment vertical="center"/>
    </xf>
    <xf numFmtId="44" fontId="47" fillId="13" borderId="83" xfId="9" applyFont="1" applyFill="1" applyBorder="1" applyAlignment="1">
      <alignment vertical="center"/>
    </xf>
    <xf numFmtId="44" fontId="47" fillId="0" borderId="83" xfId="9" applyFont="1" applyBorder="1" applyAlignment="1">
      <alignment vertical="center"/>
    </xf>
    <xf numFmtId="1" fontId="47" fillId="15" borderId="83" xfId="0" applyNumberFormat="1" applyFont="1" applyFill="1" applyBorder="1" applyAlignment="1">
      <alignment vertical="center"/>
    </xf>
    <xf numFmtId="44" fontId="47" fillId="15" borderId="83" xfId="9" applyFont="1" applyFill="1" applyBorder="1" applyAlignment="1">
      <alignment vertical="center"/>
    </xf>
    <xf numFmtId="44" fontId="47" fillId="17" borderId="83" xfId="9" applyFont="1" applyFill="1" applyBorder="1" applyAlignment="1">
      <alignment vertical="center"/>
    </xf>
    <xf numFmtId="9" fontId="47" fillId="16" borderId="83" xfId="1" applyFont="1" applyFill="1" applyBorder="1" applyAlignment="1">
      <alignment vertical="center"/>
    </xf>
    <xf numFmtId="44" fontId="47" fillId="16" borderId="83" xfId="9" applyFont="1" applyFill="1" applyBorder="1" applyAlignment="1">
      <alignment vertical="center"/>
    </xf>
    <xf numFmtId="44" fontId="47" fillId="16" borderId="94" xfId="9" applyFont="1" applyFill="1" applyBorder="1" applyAlignment="1">
      <alignment vertical="center"/>
    </xf>
    <xf numFmtId="0" fontId="47" fillId="0" borderId="72" xfId="0" applyFont="1" applyBorder="1" applyAlignment="1">
      <alignment horizontal="left" vertical="center" wrapText="1"/>
    </xf>
    <xf numFmtId="0" fontId="47" fillId="0" borderId="69" xfId="0" applyFont="1" applyBorder="1" applyAlignment="1">
      <alignment horizontal="left" vertical="center" wrapText="1"/>
    </xf>
    <xf numFmtId="49" fontId="47" fillId="0" borderId="66" xfId="0" applyNumberFormat="1" applyFont="1" applyBorder="1" applyAlignment="1">
      <alignment horizontal="left" vertical="center" wrapText="1"/>
    </xf>
    <xf numFmtId="4" fontId="39" fillId="0" borderId="0" xfId="0" applyNumberFormat="1" applyFont="1"/>
    <xf numFmtId="0" fontId="53" fillId="0" borderId="0" xfId="0" applyFont="1"/>
    <xf numFmtId="49" fontId="6" fillId="0" borderId="0" xfId="2" applyNumberFormat="1" applyFont="1" applyAlignment="1">
      <alignment horizontal="left" vertical="center" wrapText="1"/>
    </xf>
    <xf numFmtId="0" fontId="6" fillId="0" borderId="0" xfId="2" applyFont="1" applyAlignment="1">
      <alignment horizontal="left" vertical="center" wrapText="1"/>
    </xf>
    <xf numFmtId="0" fontId="53" fillId="0" borderId="0" xfId="0" applyFont="1" applyAlignment="1">
      <alignment horizontal="center"/>
    </xf>
    <xf numFmtId="14" fontId="6" fillId="0" borderId="100" xfId="2" applyNumberFormat="1" applyFont="1" applyBorder="1" applyAlignment="1" applyProtection="1">
      <alignment horizontal="left" vertical="center"/>
      <protection locked="0"/>
    </xf>
    <xf numFmtId="0" fontId="54" fillId="22" borderId="0" xfId="0" applyFont="1" applyFill="1" applyAlignment="1">
      <alignment horizontal="left" vertical="center"/>
    </xf>
    <xf numFmtId="0" fontId="53" fillId="22" borderId="0" xfId="0" applyFont="1" applyFill="1" applyAlignment="1">
      <alignment horizontal="center"/>
    </xf>
    <xf numFmtId="0" fontId="53" fillId="22" borderId="0" xfId="0" applyFont="1" applyFill="1"/>
    <xf numFmtId="49" fontId="53" fillId="0" borderId="0" xfId="0" applyNumberFormat="1" applyFont="1"/>
    <xf numFmtId="0" fontId="55" fillId="13" borderId="0" xfId="0" applyFont="1" applyFill="1"/>
    <xf numFmtId="0" fontId="53" fillId="0" borderId="0" xfId="1" applyNumberFormat="1" applyFont="1"/>
    <xf numFmtId="165" fontId="56" fillId="6" borderId="42" xfId="4" applyFont="1" applyFill="1" applyBorder="1" applyAlignment="1">
      <alignment horizontal="center" vertical="center" wrapText="1"/>
    </xf>
    <xf numFmtId="169" fontId="54" fillId="0" borderId="110" xfId="1" applyNumberFormat="1" applyFont="1" applyBorder="1"/>
    <xf numFmtId="166" fontId="56" fillId="0" borderId="55" xfId="4" applyNumberFormat="1" applyFont="1" applyBorder="1" applyAlignment="1">
      <alignment horizontal="center" vertical="center" wrapText="1"/>
    </xf>
    <xf numFmtId="0" fontId="57" fillId="0" borderId="0" xfId="0" applyFont="1"/>
    <xf numFmtId="0" fontId="58" fillId="0" borderId="6" xfId="0" applyFont="1" applyBorder="1" applyAlignment="1">
      <alignment horizontal="left" vertical="center"/>
    </xf>
    <xf numFmtId="49" fontId="58" fillId="0" borderId="7" xfId="0" applyNumberFormat="1" applyFont="1" applyBorder="1" applyAlignment="1">
      <alignment horizontal="left" vertical="center"/>
    </xf>
    <xf numFmtId="0" fontId="58" fillId="0" borderId="8" xfId="0" applyFont="1" applyBorder="1" applyAlignment="1">
      <alignment horizontal="left" vertical="center"/>
    </xf>
    <xf numFmtId="0" fontId="58" fillId="0" borderId="6" xfId="0" applyFont="1" applyBorder="1" applyAlignment="1">
      <alignment horizontal="left" vertical="center" wrapText="1"/>
    </xf>
    <xf numFmtId="0" fontId="6" fillId="6" borderId="74" xfId="3" applyFont="1" applyFill="1" applyBorder="1" applyAlignment="1">
      <alignment horizontal="left" vertical="center"/>
    </xf>
    <xf numFmtId="0" fontId="6" fillId="6" borderId="75" xfId="3" applyFont="1" applyFill="1" applyBorder="1" applyAlignment="1">
      <alignment horizontal="center" vertical="center"/>
    </xf>
    <xf numFmtId="0" fontId="20" fillId="6" borderId="75" xfId="3" applyFont="1" applyFill="1" applyBorder="1" applyAlignment="1">
      <alignment horizontal="center" vertical="center"/>
    </xf>
    <xf numFmtId="167" fontId="20" fillId="6" borderId="75" xfId="3" applyNumberFormat="1" applyFont="1" applyFill="1" applyBorder="1" applyAlignment="1">
      <alignment horizontal="center" vertical="center" wrapText="1"/>
    </xf>
    <xf numFmtId="0" fontId="20" fillId="6" borderId="75" xfId="3" applyFont="1" applyFill="1" applyBorder="1" applyAlignment="1">
      <alignment horizontal="center" vertical="center" wrapText="1"/>
    </xf>
    <xf numFmtId="171" fontId="20" fillId="6" borderId="75" xfId="1" applyNumberFormat="1" applyFont="1" applyFill="1" applyBorder="1" applyAlignment="1">
      <alignment horizontal="center" vertical="center" wrapText="1"/>
    </xf>
    <xf numFmtId="10" fontId="20" fillId="6" borderId="75" xfId="1" applyNumberFormat="1" applyFont="1" applyFill="1" applyBorder="1" applyAlignment="1">
      <alignment horizontal="center" vertical="center" wrapText="1"/>
    </xf>
    <xf numFmtId="0" fontId="20" fillId="6" borderId="95" xfId="3" applyFont="1" applyFill="1" applyBorder="1" applyAlignment="1">
      <alignment horizontal="center" vertical="center" wrapText="1"/>
    </xf>
    <xf numFmtId="37" fontId="56" fillId="6" borderId="74" xfId="3" applyNumberFormat="1" applyFont="1" applyFill="1" applyBorder="1" applyAlignment="1">
      <alignment horizontal="center" vertical="center"/>
    </xf>
    <xf numFmtId="37" fontId="56" fillId="6" borderId="75" xfId="3" applyNumberFormat="1" applyFont="1" applyFill="1" applyBorder="1" applyAlignment="1">
      <alignment horizontal="center" vertical="center"/>
    </xf>
    <xf numFmtId="40" fontId="56" fillId="6" borderId="75" xfId="4" applyNumberFormat="1" applyFont="1" applyFill="1" applyBorder="1" applyAlignment="1">
      <alignment horizontal="center" vertical="center"/>
    </xf>
    <xf numFmtId="165" fontId="56" fillId="6" borderId="75" xfId="4" applyFont="1" applyFill="1" applyBorder="1" applyAlignment="1">
      <alignment horizontal="right" vertical="center"/>
    </xf>
    <xf numFmtId="40" fontId="56" fillId="6" borderId="75" xfId="4" applyNumberFormat="1" applyFont="1" applyFill="1" applyBorder="1" applyAlignment="1">
      <alignment horizontal="center" vertical="center" wrapText="1"/>
    </xf>
    <xf numFmtId="10" fontId="56" fillId="6" borderId="75" xfId="5" applyNumberFormat="1" applyFont="1" applyFill="1" applyBorder="1" applyAlignment="1">
      <alignment horizontal="center" vertical="center" wrapText="1"/>
    </xf>
    <xf numFmtId="165" fontId="56" fillId="6" borderId="75" xfId="4" applyFont="1" applyFill="1" applyBorder="1" applyAlignment="1">
      <alignment horizontal="center" vertical="center" wrapText="1"/>
    </xf>
    <xf numFmtId="165" fontId="56" fillId="6" borderId="95" xfId="4" applyFont="1" applyFill="1" applyBorder="1" applyAlignment="1">
      <alignment horizontal="center" vertical="center" wrapText="1"/>
    </xf>
    <xf numFmtId="10" fontId="56" fillId="6" borderId="80" xfId="5" applyNumberFormat="1" applyFont="1" applyFill="1" applyBorder="1" applyAlignment="1">
      <alignment horizontal="center" vertical="center" wrapText="1"/>
    </xf>
    <xf numFmtId="165" fontId="56" fillId="6" borderId="10" xfId="4" applyFont="1" applyFill="1" applyBorder="1" applyAlignment="1">
      <alignment horizontal="center" vertical="center" wrapText="1"/>
    </xf>
    <xf numFmtId="37" fontId="56" fillId="6" borderId="3" xfId="3" applyNumberFormat="1" applyFont="1" applyFill="1" applyBorder="1" applyAlignment="1">
      <alignment horizontal="center" vertical="center"/>
    </xf>
    <xf numFmtId="40" fontId="56" fillId="6" borderId="52" xfId="4" applyNumberFormat="1" applyFont="1" applyFill="1" applyBorder="1" applyAlignment="1">
      <alignment horizontal="center" vertical="center"/>
    </xf>
    <xf numFmtId="0" fontId="58" fillId="13" borderId="6" xfId="0" applyFont="1" applyFill="1" applyBorder="1" applyAlignment="1">
      <alignment horizontal="left" vertical="center" wrapText="1"/>
    </xf>
    <xf numFmtId="49" fontId="58" fillId="13" borderId="7" xfId="0" applyNumberFormat="1" applyFont="1" applyFill="1" applyBorder="1" applyAlignment="1">
      <alignment horizontal="left" vertical="center" wrapText="1"/>
    </xf>
    <xf numFmtId="0" fontId="58" fillId="13" borderId="8" xfId="0" applyFont="1" applyFill="1" applyBorder="1" applyAlignment="1">
      <alignment horizontal="left" vertical="center" wrapText="1"/>
    </xf>
    <xf numFmtId="0" fontId="53" fillId="13" borderId="0" xfId="0" applyFont="1" applyFill="1" applyAlignment="1">
      <alignment vertical="center"/>
    </xf>
    <xf numFmtId="9" fontId="30" fillId="13" borderId="0" xfId="1" applyFont="1" applyFill="1" applyBorder="1" applyAlignment="1">
      <alignment vertical="center"/>
    </xf>
    <xf numFmtId="44" fontId="30" fillId="13" borderId="0" xfId="9" applyFont="1" applyFill="1" applyBorder="1" applyAlignment="1">
      <alignment vertical="center"/>
    </xf>
    <xf numFmtId="44" fontId="20" fillId="14" borderId="75" xfId="0" applyNumberFormat="1" applyFont="1" applyFill="1" applyBorder="1" applyAlignment="1">
      <alignment horizontal="center" vertical="center"/>
    </xf>
    <xf numFmtId="44" fontId="30" fillId="14" borderId="95" xfId="0" applyNumberFormat="1" applyFont="1" applyFill="1" applyBorder="1" applyAlignment="1">
      <alignment horizontal="center" vertical="center"/>
    </xf>
    <xf numFmtId="9" fontId="30" fillId="14" borderId="14" xfId="1" applyFont="1" applyFill="1" applyBorder="1" applyAlignment="1">
      <alignment horizontal="center" vertical="center"/>
    </xf>
    <xf numFmtId="0" fontId="20" fillId="13" borderId="72" xfId="0" applyFont="1" applyFill="1" applyBorder="1" applyAlignment="1">
      <alignment horizontal="left" vertical="center" wrapText="1"/>
    </xf>
    <xf numFmtId="0" fontId="58" fillId="13" borderId="69" xfId="0" applyFont="1" applyFill="1" applyBorder="1" applyAlignment="1">
      <alignment horizontal="left" vertical="center" wrapText="1"/>
    </xf>
    <xf numFmtId="0" fontId="58" fillId="25" borderId="69" xfId="0" applyFont="1" applyFill="1" applyBorder="1" applyAlignment="1">
      <alignment horizontal="center" vertical="center"/>
    </xf>
    <xf numFmtId="0" fontId="58" fillId="13" borderId="69" xfId="0" applyFont="1" applyFill="1" applyBorder="1" applyAlignment="1">
      <alignment horizontal="center" vertical="center"/>
    </xf>
    <xf numFmtId="44" fontId="58" fillId="13" borderId="69" xfId="9" applyFont="1" applyFill="1" applyBorder="1" applyAlignment="1">
      <alignment vertical="center"/>
    </xf>
    <xf numFmtId="44" fontId="58" fillId="13" borderId="73" xfId="9" applyFont="1" applyFill="1" applyBorder="1" applyAlignment="1">
      <alignment vertical="center"/>
    </xf>
    <xf numFmtId="1" fontId="58" fillId="15" borderId="72" xfId="0" applyNumberFormat="1" applyFont="1" applyFill="1" applyBorder="1" applyAlignment="1">
      <alignment horizontal="center" vertical="center"/>
    </xf>
    <xf numFmtId="1" fontId="58" fillId="15" borderId="69" xfId="0" applyNumberFormat="1" applyFont="1" applyFill="1" applyBorder="1" applyAlignment="1">
      <alignment horizontal="center" vertical="center"/>
    </xf>
    <xf numFmtId="44" fontId="58" fillId="15" borderId="69" xfId="9" applyFont="1" applyFill="1" applyBorder="1" applyAlignment="1">
      <alignment vertical="center"/>
    </xf>
    <xf numFmtId="44" fontId="59" fillId="15" borderId="69" xfId="9" applyFont="1" applyFill="1" applyBorder="1" applyAlignment="1">
      <alignment vertical="center"/>
    </xf>
    <xf numFmtId="44" fontId="58" fillId="17" borderId="69" xfId="9" applyFont="1" applyFill="1" applyBorder="1" applyAlignment="1">
      <alignment vertical="center"/>
    </xf>
    <xf numFmtId="9" fontId="58" fillId="16" borderId="69" xfId="1" applyFont="1" applyFill="1" applyBorder="1" applyAlignment="1">
      <alignment vertical="center"/>
    </xf>
    <xf numFmtId="44" fontId="58" fillId="16" borderId="69" xfId="9" applyFont="1" applyFill="1" applyBorder="1" applyAlignment="1">
      <alignment vertical="center"/>
    </xf>
    <xf numFmtId="44" fontId="58" fillId="16" borderId="73" xfId="9" applyFont="1" applyFill="1" applyBorder="1" applyAlignment="1">
      <alignment vertical="center"/>
    </xf>
    <xf numFmtId="10" fontId="60" fillId="17" borderId="14" xfId="1" applyNumberFormat="1" applyFont="1" applyFill="1" applyBorder="1" applyAlignment="1">
      <alignment horizontal="center" vertical="center"/>
    </xf>
    <xf numFmtId="4" fontId="53" fillId="13" borderId="0" xfId="0" applyNumberFormat="1" applyFont="1" applyFill="1" applyAlignment="1">
      <alignment vertical="center"/>
    </xf>
    <xf numFmtId="8" fontId="53" fillId="13" borderId="0" xfId="0" applyNumberFormat="1" applyFont="1" applyFill="1" applyAlignment="1">
      <alignment vertical="center"/>
    </xf>
    <xf numFmtId="14" fontId="53" fillId="13" borderId="0" xfId="0" applyNumberFormat="1" applyFont="1" applyFill="1" applyAlignment="1">
      <alignment vertical="center"/>
    </xf>
    <xf numFmtId="44" fontId="61" fillId="15" borderId="69" xfId="9" applyFont="1" applyFill="1" applyBorder="1" applyAlignment="1">
      <alignment vertical="center"/>
    </xf>
    <xf numFmtId="44" fontId="62" fillId="15" borderId="69" xfId="9" applyFont="1" applyFill="1" applyBorder="1" applyAlignment="1">
      <alignment vertical="center"/>
    </xf>
    <xf numFmtId="44" fontId="60" fillId="15" borderId="69" xfId="9" applyFont="1" applyFill="1" applyBorder="1" applyAlignment="1">
      <alignment vertical="center"/>
    </xf>
    <xf numFmtId="9" fontId="20" fillId="16" borderId="69" xfId="1" applyFont="1" applyFill="1" applyBorder="1" applyAlignment="1">
      <alignment vertical="center"/>
    </xf>
    <xf numFmtId="44" fontId="6" fillId="13" borderId="0" xfId="9" applyFont="1" applyFill="1" applyBorder="1" applyAlignment="1">
      <alignment vertical="center"/>
    </xf>
    <xf numFmtId="0" fontId="58" fillId="13" borderId="65" xfId="0" applyFont="1" applyFill="1" applyBorder="1" applyAlignment="1">
      <alignment horizontal="left" vertical="center" wrapText="1"/>
    </xf>
    <xf numFmtId="0" fontId="58" fillId="13" borderId="67" xfId="0" applyFont="1" applyFill="1" applyBorder="1" applyAlignment="1">
      <alignment horizontal="left" vertical="center" wrapText="1"/>
    </xf>
    <xf numFmtId="170" fontId="20" fillId="14" borderId="69" xfId="9" applyNumberFormat="1" applyFont="1" applyFill="1" applyBorder="1" applyAlignment="1">
      <alignment horizontal="center" vertical="center"/>
    </xf>
    <xf numFmtId="170" fontId="30" fillId="14" borderId="124" xfId="9" applyNumberFormat="1" applyFont="1" applyFill="1" applyBorder="1" applyAlignment="1">
      <alignment horizontal="center" vertical="center"/>
    </xf>
    <xf numFmtId="10" fontId="30" fillId="14" borderId="14" xfId="1" applyNumberFormat="1" applyFont="1" applyFill="1" applyBorder="1" applyAlignment="1">
      <alignment horizontal="center" vertical="center"/>
    </xf>
    <xf numFmtId="0" fontId="58" fillId="13" borderId="64" xfId="0" applyFont="1" applyFill="1" applyBorder="1" applyAlignment="1">
      <alignment horizontal="left" vertical="center" wrapText="1"/>
    </xf>
    <xf numFmtId="0" fontId="58" fillId="13" borderId="0" xfId="0" applyFont="1" applyFill="1" applyAlignment="1">
      <alignment horizontal="left" vertical="center" wrapText="1"/>
    </xf>
    <xf numFmtId="10" fontId="60" fillId="17" borderId="0" xfId="9" applyNumberFormat="1" applyFont="1" applyFill="1" applyBorder="1" applyAlignment="1">
      <alignment horizontal="center" vertical="center"/>
    </xf>
    <xf numFmtId="3" fontId="58" fillId="13" borderId="69" xfId="0" applyNumberFormat="1" applyFont="1" applyFill="1" applyBorder="1" applyAlignment="1">
      <alignment horizontal="center" vertical="center"/>
    </xf>
    <xf numFmtId="0" fontId="58" fillId="13" borderId="121" xfId="0" applyFont="1" applyFill="1" applyBorder="1" applyAlignment="1">
      <alignment horizontal="left" vertical="center" wrapText="1"/>
    </xf>
    <xf numFmtId="0" fontId="58" fillId="13" borderId="122" xfId="0" applyFont="1" applyFill="1" applyBorder="1" applyAlignment="1">
      <alignment horizontal="left" vertical="center" wrapText="1"/>
    </xf>
    <xf numFmtId="0" fontId="58" fillId="0" borderId="64" xfId="0" applyFont="1" applyBorder="1" applyAlignment="1">
      <alignment horizontal="left" vertical="center" wrapText="1"/>
    </xf>
    <xf numFmtId="49" fontId="58" fillId="0" borderId="7" xfId="0" applyNumberFormat="1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8" xfId="0" applyFont="1" applyBorder="1" applyAlignment="1">
      <alignment horizontal="left" vertical="center" wrapText="1"/>
    </xf>
    <xf numFmtId="0" fontId="20" fillId="14" borderId="75" xfId="0" applyFont="1" applyFill="1" applyBorder="1" applyAlignment="1">
      <alignment horizontal="center" vertical="center"/>
    </xf>
    <xf numFmtId="0" fontId="20" fillId="14" borderId="95" xfId="0" applyFont="1" applyFill="1" applyBorder="1" applyAlignment="1">
      <alignment horizontal="center" vertical="center"/>
    </xf>
    <xf numFmtId="0" fontId="54" fillId="14" borderId="87" xfId="0" applyFont="1" applyFill="1" applyBorder="1" applyAlignment="1">
      <alignment horizontal="center" vertical="center"/>
    </xf>
    <xf numFmtId="0" fontId="58" fillId="0" borderId="65" xfId="0" applyFont="1" applyBorder="1" applyAlignment="1">
      <alignment horizontal="left" vertical="center" wrapText="1"/>
    </xf>
    <xf numFmtId="0" fontId="58" fillId="0" borderId="67" xfId="0" applyFont="1" applyBorder="1" applyAlignment="1">
      <alignment horizontal="left" vertical="center" wrapText="1"/>
    </xf>
    <xf numFmtId="0" fontId="58" fillId="13" borderId="72" xfId="0" applyFont="1" applyFill="1" applyBorder="1" applyAlignment="1">
      <alignment horizontal="left" vertical="center" wrapText="1"/>
    </xf>
    <xf numFmtId="44" fontId="60" fillId="13" borderId="69" xfId="9" applyFont="1" applyFill="1" applyBorder="1" applyAlignment="1">
      <alignment vertical="center"/>
    </xf>
    <xf numFmtId="44" fontId="58" fillId="0" borderId="73" xfId="9" applyFont="1" applyBorder="1" applyAlignment="1">
      <alignment vertical="center"/>
    </xf>
    <xf numFmtId="1" fontId="20" fillId="15" borderId="72" xfId="0" applyNumberFormat="1" applyFont="1" applyFill="1" applyBorder="1" applyAlignment="1">
      <alignment horizontal="center" vertical="center"/>
    </xf>
    <xf numFmtId="1" fontId="20" fillId="15" borderId="69" xfId="0" applyNumberFormat="1" applyFont="1" applyFill="1" applyBorder="1" applyAlignment="1">
      <alignment horizontal="center" vertical="center"/>
    </xf>
    <xf numFmtId="44" fontId="58" fillId="15" borderId="69" xfId="9" applyFont="1" applyFill="1" applyBorder="1" applyAlignment="1">
      <alignment horizontal="center" vertical="center"/>
    </xf>
    <xf numFmtId="10" fontId="58" fillId="17" borderId="14" xfId="0" applyNumberFormat="1" applyFont="1" applyFill="1" applyBorder="1" applyAlignment="1">
      <alignment horizontal="center" vertical="center"/>
    </xf>
    <xf numFmtId="44" fontId="63" fillId="15" borderId="69" xfId="9" applyFont="1" applyFill="1" applyBorder="1" applyAlignment="1">
      <alignment vertical="center"/>
    </xf>
    <xf numFmtId="0" fontId="58" fillId="0" borderId="69" xfId="0" applyFont="1" applyBorder="1" applyAlignment="1">
      <alignment horizontal="center" vertical="center"/>
    </xf>
    <xf numFmtId="44" fontId="58" fillId="0" borderId="69" xfId="9" applyFont="1" applyBorder="1" applyAlignment="1">
      <alignment vertical="center"/>
    </xf>
    <xf numFmtId="0" fontId="60" fillId="13" borderId="69" xfId="0" applyFont="1" applyFill="1" applyBorder="1" applyAlignment="1">
      <alignment horizontal="left" vertical="center" wrapText="1"/>
    </xf>
    <xf numFmtId="1" fontId="58" fillId="15" borderId="72" xfId="0" applyNumberFormat="1" applyFont="1" applyFill="1" applyBorder="1" applyAlignment="1">
      <alignment vertical="center"/>
    </xf>
    <xf numFmtId="1" fontId="58" fillId="15" borderId="69" xfId="0" applyNumberFormat="1" applyFont="1" applyFill="1" applyBorder="1" applyAlignment="1">
      <alignment vertical="center"/>
    </xf>
    <xf numFmtId="0" fontId="58" fillId="0" borderId="121" xfId="0" applyFont="1" applyBorder="1" applyAlignment="1">
      <alignment horizontal="left" vertical="center" wrapText="1"/>
    </xf>
    <xf numFmtId="0" fontId="58" fillId="0" borderId="122" xfId="0" applyFont="1" applyBorder="1" applyAlignment="1">
      <alignment horizontal="left" vertical="center" wrapText="1"/>
    </xf>
    <xf numFmtId="8" fontId="58" fillId="13" borderId="69" xfId="9" applyNumberFormat="1" applyFont="1" applyFill="1" applyBorder="1" applyAlignment="1">
      <alignment horizontal="center" vertical="center"/>
    </xf>
    <xf numFmtId="0" fontId="58" fillId="24" borderId="69" xfId="0" applyFont="1" applyFill="1" applyBorder="1" applyAlignment="1">
      <alignment horizontal="left" vertical="center" wrapText="1"/>
    </xf>
    <xf numFmtId="0" fontId="58" fillId="24" borderId="69" xfId="0" applyFont="1" applyFill="1" applyBorder="1" applyAlignment="1">
      <alignment horizontal="center" vertical="center"/>
    </xf>
    <xf numFmtId="44" fontId="58" fillId="13" borderId="69" xfId="9" applyFont="1" applyFill="1" applyBorder="1" applyAlignment="1">
      <alignment horizontal="right" vertical="center"/>
    </xf>
    <xf numFmtId="10" fontId="58" fillId="17" borderId="108" xfId="0" applyNumberFormat="1" applyFont="1" applyFill="1" applyBorder="1" applyAlignment="1">
      <alignment horizontal="center" vertical="center"/>
    </xf>
    <xf numFmtId="10" fontId="58" fillId="17" borderId="104" xfId="0" applyNumberFormat="1" applyFont="1" applyFill="1" applyBorder="1" applyAlignment="1">
      <alignment horizontal="center" vertical="center"/>
    </xf>
    <xf numFmtId="0" fontId="54" fillId="14" borderId="80" xfId="0" applyFont="1" applyFill="1" applyBorder="1" applyAlignment="1">
      <alignment horizontal="center" vertical="center"/>
    </xf>
    <xf numFmtId="10" fontId="58" fillId="17" borderId="76" xfId="0" applyNumberFormat="1" applyFont="1" applyFill="1" applyBorder="1" applyAlignment="1">
      <alignment horizontal="center" vertical="center"/>
    </xf>
    <xf numFmtId="10" fontId="58" fillId="17" borderId="69" xfId="0" applyNumberFormat="1" applyFont="1" applyFill="1" applyBorder="1" applyAlignment="1">
      <alignment horizontal="center" vertical="center"/>
    </xf>
    <xf numFmtId="0" fontId="60" fillId="13" borderId="69" xfId="0" applyFont="1" applyFill="1" applyBorder="1" applyAlignment="1">
      <alignment horizontal="center" vertical="center"/>
    </xf>
    <xf numFmtId="44" fontId="64" fillId="15" borderId="69" xfId="9" applyFont="1" applyFill="1" applyBorder="1" applyAlignment="1">
      <alignment vertical="center"/>
    </xf>
    <xf numFmtId="44" fontId="20" fillId="14" borderId="75" xfId="9" applyFont="1" applyFill="1" applyBorder="1" applyAlignment="1">
      <alignment horizontal="center" vertical="center"/>
    </xf>
    <xf numFmtId="44" fontId="20" fillId="14" borderId="95" xfId="9" applyFont="1" applyFill="1" applyBorder="1" applyAlignment="1">
      <alignment horizontal="center" vertical="center"/>
    </xf>
    <xf numFmtId="10" fontId="20" fillId="14" borderId="14" xfId="0" applyNumberFormat="1" applyFont="1" applyFill="1" applyBorder="1" applyAlignment="1">
      <alignment horizontal="center" vertical="center"/>
    </xf>
    <xf numFmtId="0" fontId="58" fillId="0" borderId="53" xfId="0" applyFont="1" applyBorder="1" applyAlignment="1">
      <alignment horizontal="left" vertical="center" wrapText="1"/>
    </xf>
    <xf numFmtId="0" fontId="58" fillId="0" borderId="70" xfId="0" applyFont="1" applyBorder="1" applyAlignment="1">
      <alignment horizontal="left" vertical="center" wrapText="1"/>
    </xf>
    <xf numFmtId="0" fontId="58" fillId="0" borderId="70" xfId="0" applyFont="1" applyBorder="1" applyAlignment="1">
      <alignment horizontal="center" vertical="center"/>
    </xf>
    <xf numFmtId="44" fontId="58" fillId="13" borderId="70" xfId="9" applyFont="1" applyFill="1" applyBorder="1" applyAlignment="1">
      <alignment vertical="center"/>
    </xf>
    <xf numFmtId="44" fontId="58" fillId="0" borderId="70" xfId="9" applyFont="1" applyBorder="1" applyAlignment="1">
      <alignment vertical="center"/>
    </xf>
    <xf numFmtId="44" fontId="58" fillId="0" borderId="54" xfId="9" applyFont="1" applyBorder="1" applyAlignment="1">
      <alignment vertical="center"/>
    </xf>
    <xf numFmtId="1" fontId="58" fillId="15" borderId="53" xfId="0" applyNumberFormat="1" applyFont="1" applyFill="1" applyBorder="1" applyAlignment="1">
      <alignment vertical="center"/>
    </xf>
    <xf numFmtId="1" fontId="58" fillId="15" borderId="70" xfId="0" applyNumberFormat="1" applyFont="1" applyFill="1" applyBorder="1" applyAlignment="1">
      <alignment vertical="center"/>
    </xf>
    <xf numFmtId="44" fontId="58" fillId="15" borderId="70" xfId="9" applyFont="1" applyFill="1" applyBorder="1" applyAlignment="1">
      <alignment vertical="center"/>
    </xf>
    <xf numFmtId="44" fontId="59" fillId="15" borderId="70" xfId="9" applyFont="1" applyFill="1" applyBorder="1" applyAlignment="1">
      <alignment vertical="center"/>
    </xf>
    <xf numFmtId="44" fontId="58" fillId="17" borderId="70" xfId="9" applyFont="1" applyFill="1" applyBorder="1" applyAlignment="1">
      <alignment vertical="center"/>
    </xf>
    <xf numFmtId="9" fontId="58" fillId="16" borderId="70" xfId="1" applyFont="1" applyFill="1" applyBorder="1" applyAlignment="1">
      <alignment vertical="center"/>
    </xf>
    <xf numFmtId="44" fontId="58" fillId="16" borderId="70" xfId="9" applyFont="1" applyFill="1" applyBorder="1" applyAlignment="1">
      <alignment vertical="center"/>
    </xf>
    <xf numFmtId="44" fontId="58" fillId="16" borderId="54" xfId="9" applyFont="1" applyFill="1" applyBorder="1" applyAlignment="1">
      <alignment vertical="center"/>
    </xf>
    <xf numFmtId="1" fontId="58" fillId="15" borderId="89" xfId="0" applyNumberFormat="1" applyFont="1" applyFill="1" applyBorder="1" applyAlignment="1">
      <alignment vertical="center"/>
    </xf>
    <xf numFmtId="44" fontId="58" fillId="15" borderId="11" xfId="9" applyFont="1" applyFill="1" applyBorder="1" applyAlignment="1">
      <alignment vertical="center"/>
    </xf>
    <xf numFmtId="44" fontId="58" fillId="17" borderId="11" xfId="9" applyFont="1" applyFill="1" applyBorder="1" applyAlignment="1">
      <alignment vertical="center"/>
    </xf>
    <xf numFmtId="9" fontId="58" fillId="16" borderId="11" xfId="1" applyFont="1" applyFill="1" applyBorder="1" applyAlignment="1">
      <alignment vertical="center"/>
    </xf>
    <xf numFmtId="44" fontId="58" fillId="16" borderId="11" xfId="9" applyFont="1" applyFill="1" applyBorder="1" applyAlignment="1">
      <alignment vertical="center"/>
    </xf>
    <xf numFmtId="0" fontId="58" fillId="13" borderId="93" xfId="0" applyFont="1" applyFill="1" applyBorder="1" applyAlignment="1">
      <alignment horizontal="left" vertical="center" wrapText="1"/>
    </xf>
    <xf numFmtId="0" fontId="60" fillId="13" borderId="83" xfId="0" applyFont="1" applyFill="1" applyBorder="1" applyAlignment="1">
      <alignment horizontal="left" vertical="center" wrapText="1"/>
    </xf>
    <xf numFmtId="0" fontId="58" fillId="13" borderId="83" xfId="0" applyFont="1" applyFill="1" applyBorder="1" applyAlignment="1">
      <alignment horizontal="center" vertical="center"/>
    </xf>
    <xf numFmtId="0" fontId="60" fillId="13" borderId="83" xfId="0" applyFont="1" applyFill="1" applyBorder="1" applyAlignment="1">
      <alignment horizontal="center" vertical="center"/>
    </xf>
    <xf numFmtId="44" fontId="58" fillId="13" borderId="83" xfId="9" applyFont="1" applyFill="1" applyBorder="1" applyAlignment="1">
      <alignment vertical="center"/>
    </xf>
    <xf numFmtId="44" fontId="58" fillId="0" borderId="83" xfId="9" applyFont="1" applyBorder="1" applyAlignment="1">
      <alignment vertical="center"/>
    </xf>
    <xf numFmtId="44" fontId="58" fillId="0" borderId="94" xfId="9" applyFont="1" applyBorder="1" applyAlignment="1">
      <alignment vertical="center"/>
    </xf>
    <xf numFmtId="1" fontId="58" fillId="15" borderId="93" xfId="0" applyNumberFormat="1" applyFont="1" applyFill="1" applyBorder="1" applyAlignment="1">
      <alignment vertical="center"/>
    </xf>
    <xf numFmtId="1" fontId="58" fillId="15" borderId="83" xfId="0" applyNumberFormat="1" applyFont="1" applyFill="1" applyBorder="1" applyAlignment="1">
      <alignment vertical="center"/>
    </xf>
    <xf numFmtId="44" fontId="58" fillId="15" borderId="83" xfId="9" applyFont="1" applyFill="1" applyBorder="1" applyAlignment="1">
      <alignment vertical="center"/>
    </xf>
    <xf numFmtId="44" fontId="59" fillId="15" borderId="83" xfId="9" applyFont="1" applyFill="1" applyBorder="1" applyAlignment="1">
      <alignment vertical="center"/>
    </xf>
    <xf numFmtId="44" fontId="58" fillId="17" borderId="83" xfId="9" applyFont="1" applyFill="1" applyBorder="1" applyAlignment="1">
      <alignment vertical="center"/>
    </xf>
    <xf numFmtId="9" fontId="58" fillId="16" borderId="83" xfId="1" applyFont="1" applyFill="1" applyBorder="1" applyAlignment="1">
      <alignment vertical="center"/>
    </xf>
    <xf numFmtId="44" fontId="58" fillId="16" borderId="83" xfId="9" applyFont="1" applyFill="1" applyBorder="1" applyAlignment="1">
      <alignment vertical="center"/>
    </xf>
    <xf numFmtId="44" fontId="58" fillId="16" borderId="94" xfId="9" applyFont="1" applyFill="1" applyBorder="1" applyAlignment="1">
      <alignment vertical="center"/>
    </xf>
    <xf numFmtId="0" fontId="20" fillId="14" borderId="83" xfId="0" applyFont="1" applyFill="1" applyBorder="1" applyAlignment="1">
      <alignment horizontal="center" vertical="center"/>
    </xf>
    <xf numFmtId="0" fontId="20" fillId="14" borderId="94" xfId="0" applyFont="1" applyFill="1" applyBorder="1" applyAlignment="1">
      <alignment horizontal="center" vertical="center"/>
    </xf>
    <xf numFmtId="0" fontId="54" fillId="14" borderId="103" xfId="0" applyFont="1" applyFill="1" applyBorder="1" applyAlignment="1">
      <alignment horizontal="center" vertical="center"/>
    </xf>
    <xf numFmtId="0" fontId="58" fillId="0" borderId="72" xfId="0" applyFont="1" applyBorder="1" applyAlignment="1">
      <alignment horizontal="left" vertical="center" wrapText="1"/>
    </xf>
    <xf numFmtId="0" fontId="58" fillId="0" borderId="69" xfId="0" applyFont="1" applyBorder="1" applyAlignment="1">
      <alignment horizontal="left" vertical="center" wrapText="1"/>
    </xf>
    <xf numFmtId="49" fontId="58" fillId="0" borderId="66" xfId="0" applyNumberFormat="1" applyFont="1" applyBorder="1" applyAlignment="1">
      <alignment horizontal="left" vertical="center" wrapText="1"/>
    </xf>
    <xf numFmtId="0" fontId="30" fillId="18" borderId="77" xfId="0" applyFont="1" applyFill="1" applyBorder="1"/>
    <xf numFmtId="0" fontId="30" fillId="18" borderId="78" xfId="0" applyFont="1" applyFill="1" applyBorder="1"/>
    <xf numFmtId="0" fontId="30" fillId="18" borderId="78" xfId="0" applyFont="1" applyFill="1" applyBorder="1" applyAlignment="1">
      <alignment horizontal="center"/>
    </xf>
    <xf numFmtId="44" fontId="30" fillId="18" borderId="78" xfId="0" applyNumberFormat="1" applyFont="1" applyFill="1" applyBorder="1"/>
    <xf numFmtId="44" fontId="30" fillId="18" borderId="79" xfId="0" applyNumberFormat="1" applyFont="1" applyFill="1" applyBorder="1"/>
    <xf numFmtId="0" fontId="30" fillId="18" borderId="77" xfId="0" applyFont="1" applyFill="1" applyBorder="1" applyAlignment="1">
      <alignment horizontal="center"/>
    </xf>
    <xf numFmtId="9" fontId="30" fillId="18" borderId="18" xfId="1" applyFont="1" applyFill="1" applyBorder="1"/>
    <xf numFmtId="4" fontId="53" fillId="0" borderId="0" xfId="0" applyNumberFormat="1" applyFont="1"/>
    <xf numFmtId="10" fontId="56" fillId="6" borderId="130" xfId="5" applyNumberFormat="1" applyFont="1" applyFill="1" applyBorder="1" applyAlignment="1">
      <alignment horizontal="center" vertical="center" wrapText="1"/>
    </xf>
    <xf numFmtId="44" fontId="30" fillId="14" borderId="11" xfId="9" applyFont="1" applyFill="1" applyBorder="1" applyAlignment="1">
      <alignment horizontal="center" vertical="center"/>
    </xf>
    <xf numFmtId="10" fontId="60" fillId="17" borderId="11" xfId="9" applyNumberFormat="1" applyFont="1" applyFill="1" applyBorder="1" applyAlignment="1">
      <alignment horizontal="center" vertical="center"/>
    </xf>
    <xf numFmtId="0" fontId="54" fillId="14" borderId="131" xfId="0" applyFont="1" applyFill="1" applyBorder="1" applyAlignment="1">
      <alignment horizontal="center" vertical="center"/>
    </xf>
    <xf numFmtId="10" fontId="60" fillId="17" borderId="51" xfId="9" applyNumberFormat="1" applyFont="1" applyFill="1" applyBorder="1" applyAlignment="1">
      <alignment horizontal="center" vertical="center"/>
    </xf>
    <xf numFmtId="10" fontId="58" fillId="17" borderId="11" xfId="0" applyNumberFormat="1" applyFont="1" applyFill="1" applyBorder="1" applyAlignment="1">
      <alignment horizontal="center" vertical="center"/>
    </xf>
    <xf numFmtId="10" fontId="20" fillId="14" borderId="11" xfId="0" applyNumberFormat="1" applyFont="1" applyFill="1" applyBorder="1" applyAlignment="1">
      <alignment horizontal="center" vertical="center"/>
    </xf>
    <xf numFmtId="10" fontId="58" fillId="17" borderId="132" xfId="0" applyNumberFormat="1" applyFont="1" applyFill="1" applyBorder="1" applyAlignment="1">
      <alignment horizontal="center" vertical="center"/>
    </xf>
    <xf numFmtId="0" fontId="54" fillId="14" borderId="96" xfId="0" applyFont="1" applyFill="1" applyBorder="1" applyAlignment="1">
      <alignment horizontal="center" vertical="center"/>
    </xf>
    <xf numFmtId="10" fontId="58" fillId="17" borderId="105" xfId="0" applyNumberFormat="1" applyFont="1" applyFill="1" applyBorder="1" applyAlignment="1">
      <alignment horizontal="center" vertical="center"/>
    </xf>
    <xf numFmtId="10" fontId="58" fillId="17" borderId="51" xfId="0" applyNumberFormat="1" applyFont="1" applyFill="1" applyBorder="1" applyAlignment="1">
      <alignment horizontal="center" vertical="center"/>
    </xf>
    <xf numFmtId="44" fontId="30" fillId="18" borderId="18" xfId="9" applyFont="1" applyFill="1" applyBorder="1"/>
    <xf numFmtId="165" fontId="56" fillId="6" borderId="80" xfId="4" applyFont="1" applyFill="1" applyBorder="1" applyAlignment="1">
      <alignment horizontal="center" vertical="center" wrapText="1"/>
    </xf>
    <xf numFmtId="0" fontId="66" fillId="13" borderId="69" xfId="0" applyFont="1" applyFill="1" applyBorder="1"/>
    <xf numFmtId="166" fontId="67" fillId="13" borderId="69" xfId="4" applyNumberFormat="1" applyFont="1" applyFill="1" applyBorder="1" applyAlignment="1">
      <alignment horizontal="center" vertical="center" wrapText="1"/>
    </xf>
    <xf numFmtId="166" fontId="68" fillId="13" borderId="69" xfId="4" applyNumberFormat="1" applyFont="1" applyFill="1" applyBorder="1" applyAlignment="1">
      <alignment horizontal="center" vertical="center" wrapText="1"/>
    </xf>
    <xf numFmtId="0" fontId="42" fillId="13" borderId="69" xfId="0" applyFont="1" applyFill="1" applyBorder="1"/>
    <xf numFmtId="166" fontId="41" fillId="13" borderId="69" xfId="4" applyNumberFormat="1" applyFont="1" applyFill="1" applyBorder="1" applyAlignment="1">
      <alignment horizontal="center" vertical="center" wrapText="1"/>
    </xf>
    <xf numFmtId="166" fontId="48" fillId="13" borderId="69" xfId="4" applyNumberFormat="1" applyFont="1" applyFill="1" applyBorder="1" applyAlignment="1">
      <alignment horizontal="center" vertical="center" wrapText="1"/>
    </xf>
    <xf numFmtId="44" fontId="41" fillId="13" borderId="69" xfId="9" applyFont="1" applyFill="1" applyBorder="1" applyAlignment="1">
      <alignment horizontal="center" vertical="center"/>
    </xf>
    <xf numFmtId="44" fontId="69" fillId="13" borderId="69" xfId="9" applyFont="1" applyFill="1" applyBorder="1" applyAlignment="1">
      <alignment vertical="center"/>
    </xf>
    <xf numFmtId="44" fontId="69" fillId="13" borderId="69" xfId="9" applyFont="1" applyFill="1" applyBorder="1"/>
    <xf numFmtId="0" fontId="53" fillId="0" borderId="0" xfId="0" applyFont="1" applyAlignment="1">
      <alignment horizontal="center" vertical="center"/>
    </xf>
    <xf numFmtId="0" fontId="53" fillId="22" borderId="0" xfId="0" applyFont="1" applyFill="1" applyAlignment="1">
      <alignment horizontal="center" vertical="center"/>
    </xf>
    <xf numFmtId="0" fontId="6" fillId="6" borderId="39" xfId="3" applyFont="1" applyFill="1" applyBorder="1" applyAlignment="1">
      <alignment horizontal="left" vertical="center"/>
    </xf>
    <xf numFmtId="0" fontId="6" fillId="6" borderId="38" xfId="3" applyFont="1" applyFill="1" applyBorder="1" applyAlignment="1">
      <alignment horizontal="center" vertical="center"/>
    </xf>
    <xf numFmtId="0" fontId="20" fillId="6" borderId="38" xfId="3" applyFont="1" applyFill="1" applyBorder="1" applyAlignment="1">
      <alignment horizontal="center" vertical="center"/>
    </xf>
    <xf numFmtId="167" fontId="20" fillId="6" borderId="38" xfId="3" applyNumberFormat="1" applyFont="1" applyFill="1" applyBorder="1" applyAlignment="1">
      <alignment horizontal="center" vertical="center" wrapText="1"/>
    </xf>
    <xf numFmtId="0" fontId="20" fillId="6" borderId="38" xfId="3" applyFont="1" applyFill="1" applyBorder="1" applyAlignment="1">
      <alignment horizontal="center" vertical="center" wrapText="1"/>
    </xf>
    <xf numFmtId="9" fontId="20" fillId="6" borderId="38" xfId="1" applyFont="1" applyFill="1" applyBorder="1" applyAlignment="1">
      <alignment horizontal="center" vertical="center" wrapText="1"/>
    </xf>
    <xf numFmtId="10" fontId="20" fillId="6" borderId="38" xfId="1" applyNumberFormat="1" applyFont="1" applyFill="1" applyBorder="1" applyAlignment="1">
      <alignment horizontal="center" vertical="center" wrapText="1"/>
    </xf>
    <xf numFmtId="0" fontId="20" fillId="6" borderId="40" xfId="3" applyFont="1" applyFill="1" applyBorder="1" applyAlignment="1">
      <alignment horizontal="center" vertical="center" wrapText="1"/>
    </xf>
    <xf numFmtId="0" fontId="20" fillId="14" borderId="70" xfId="0" applyFont="1" applyFill="1" applyBorder="1" applyAlignment="1">
      <alignment horizontal="center" vertical="center"/>
    </xf>
    <xf numFmtId="0" fontId="20" fillId="14" borderId="54" xfId="0" applyFont="1" applyFill="1" applyBorder="1" applyAlignment="1">
      <alignment horizontal="center" vertical="center"/>
    </xf>
    <xf numFmtId="0" fontId="54" fillId="14" borderId="74" xfId="0" applyFont="1" applyFill="1" applyBorder="1" applyAlignment="1">
      <alignment horizontal="center" vertical="center"/>
    </xf>
    <xf numFmtId="0" fontId="58" fillId="13" borderId="74" xfId="2" applyFont="1" applyFill="1" applyBorder="1" applyAlignment="1">
      <alignment horizontal="left" vertical="center" wrapText="1"/>
    </xf>
    <xf numFmtId="0" fontId="58" fillId="0" borderId="75" xfId="2" applyFont="1" applyBorder="1" applyAlignment="1">
      <alignment horizontal="left" vertical="center" wrapText="1"/>
    </xf>
    <xf numFmtId="0" fontId="58" fillId="0" borderId="75" xfId="2" quotePrefix="1" applyFont="1" applyBorder="1" applyAlignment="1">
      <alignment horizontal="center" vertical="center"/>
    </xf>
    <xf numFmtId="3" fontId="58" fillId="0" borderId="75" xfId="2" quotePrefix="1" applyNumberFormat="1" applyFont="1" applyBorder="1" applyAlignment="1">
      <alignment horizontal="center" vertical="center"/>
    </xf>
    <xf numFmtId="44" fontId="58" fillId="0" borderId="75" xfId="9" quotePrefix="1" applyFont="1" applyBorder="1" applyAlignment="1">
      <alignment vertical="center"/>
    </xf>
    <xf numFmtId="44" fontId="58" fillId="0" borderId="75" xfId="9" applyFont="1" applyBorder="1" applyAlignment="1">
      <alignment vertical="center"/>
    </xf>
    <xf numFmtId="44" fontId="58" fillId="0" borderId="95" xfId="9" applyFont="1" applyBorder="1" applyAlignment="1">
      <alignment vertical="center"/>
    </xf>
    <xf numFmtId="0" fontId="53" fillId="0" borderId="0" xfId="0" applyFont="1" applyAlignment="1">
      <alignment vertical="center"/>
    </xf>
    <xf numFmtId="1" fontId="58" fillId="15" borderId="88" xfId="0" applyNumberFormat="1" applyFont="1" applyFill="1" applyBorder="1" applyAlignment="1">
      <alignment horizontal="center" vertical="center"/>
    </xf>
    <xf numFmtId="1" fontId="58" fillId="15" borderId="105" xfId="0" applyNumberFormat="1" applyFont="1" applyFill="1" applyBorder="1" applyAlignment="1">
      <alignment horizontal="center" vertical="center"/>
    </xf>
    <xf numFmtId="44" fontId="58" fillId="15" borderId="105" xfId="9" applyFont="1" applyFill="1" applyBorder="1" applyAlignment="1">
      <alignment vertical="center"/>
    </xf>
    <xf numFmtId="44" fontId="58" fillId="17" borderId="105" xfId="9" applyFont="1" applyFill="1" applyBorder="1" applyAlignment="1">
      <alignment vertical="center"/>
    </xf>
    <xf numFmtId="9" fontId="58" fillId="16" borderId="105" xfId="1" applyFont="1" applyFill="1" applyBorder="1" applyAlignment="1">
      <alignment vertical="center"/>
    </xf>
    <xf numFmtId="44" fontId="58" fillId="16" borderId="105" xfId="9" applyFont="1" applyFill="1" applyBorder="1" applyAlignment="1">
      <alignment vertical="center"/>
    </xf>
    <xf numFmtId="44" fontId="58" fillId="16" borderId="95" xfId="9" applyFont="1" applyFill="1" applyBorder="1" applyAlignment="1">
      <alignment vertical="center"/>
    </xf>
    <xf numFmtId="0" fontId="58" fillId="13" borderId="72" xfId="2" applyFont="1" applyFill="1" applyBorder="1" applyAlignment="1">
      <alignment vertical="center" wrapText="1"/>
    </xf>
    <xf numFmtId="0" fontId="60" fillId="0" borderId="69" xfId="2" quotePrefix="1" applyFont="1" applyBorder="1" applyAlignment="1">
      <alignment horizontal="center" vertical="center"/>
    </xf>
    <xf numFmtId="3" fontId="60" fillId="0" borderId="69" xfId="2" quotePrefix="1" applyNumberFormat="1" applyFont="1" applyBorder="1" applyAlignment="1">
      <alignment horizontal="center" vertical="center"/>
    </xf>
    <xf numFmtId="44" fontId="60" fillId="13" borderId="69" xfId="11" quotePrefix="1" applyFont="1" applyFill="1" applyBorder="1" applyAlignment="1">
      <alignment horizontal="center" vertical="center"/>
    </xf>
    <xf numFmtId="1" fontId="58" fillId="15" borderId="85" xfId="0" applyNumberFormat="1" applyFont="1" applyFill="1" applyBorder="1" applyAlignment="1">
      <alignment horizontal="center" vertical="center"/>
    </xf>
    <xf numFmtId="1" fontId="58" fillId="15" borderId="71" xfId="0" applyNumberFormat="1" applyFont="1" applyFill="1" applyBorder="1" applyAlignment="1">
      <alignment horizontal="center" vertical="center"/>
    </xf>
    <xf numFmtId="44" fontId="58" fillId="15" borderId="71" xfId="9" applyFont="1" applyFill="1" applyBorder="1" applyAlignment="1">
      <alignment vertical="center"/>
    </xf>
    <xf numFmtId="44" fontId="58" fillId="17" borderId="71" xfId="9" applyFont="1" applyFill="1" applyBorder="1" applyAlignment="1">
      <alignment vertical="center"/>
    </xf>
    <xf numFmtId="9" fontId="58" fillId="16" borderId="71" xfId="1" applyFont="1" applyFill="1" applyBorder="1" applyAlignment="1">
      <alignment vertical="center"/>
    </xf>
    <xf numFmtId="44" fontId="58" fillId="16" borderId="71" xfId="9" applyFont="1" applyFill="1" applyBorder="1" applyAlignment="1">
      <alignment vertical="center"/>
    </xf>
    <xf numFmtId="44" fontId="58" fillId="16" borderId="86" xfId="9" applyFont="1" applyFill="1" applyBorder="1" applyAlignment="1">
      <alignment vertical="center"/>
    </xf>
    <xf numFmtId="1" fontId="58" fillId="15" borderId="90" xfId="0" applyNumberFormat="1" applyFont="1" applyFill="1" applyBorder="1" applyAlignment="1">
      <alignment horizontal="center" vertical="center"/>
    </xf>
    <xf numFmtId="1" fontId="58" fillId="15" borderId="68" xfId="0" applyNumberFormat="1" applyFont="1" applyFill="1" applyBorder="1" applyAlignment="1">
      <alignment horizontal="center" vertical="center"/>
    </xf>
    <xf numFmtId="44" fontId="58" fillId="15" borderId="68" xfId="9" applyFont="1" applyFill="1" applyBorder="1" applyAlignment="1">
      <alignment vertical="center"/>
    </xf>
    <xf numFmtId="44" fontId="58" fillId="17" borderId="68" xfId="9" applyFont="1" applyFill="1" applyBorder="1" applyAlignment="1">
      <alignment vertical="center"/>
    </xf>
    <xf numFmtId="9" fontId="58" fillId="16" borderId="68" xfId="1" applyFont="1" applyFill="1" applyBorder="1" applyAlignment="1">
      <alignment vertical="center"/>
    </xf>
    <xf numFmtId="44" fontId="58" fillId="16" borderId="68" xfId="9" applyFont="1" applyFill="1" applyBorder="1" applyAlignment="1">
      <alignment vertical="center"/>
    </xf>
    <xf numFmtId="0" fontId="58" fillId="0" borderId="69" xfId="0" applyFont="1" applyBorder="1" applyAlignment="1">
      <alignment horizontal="center"/>
    </xf>
    <xf numFmtId="0" fontId="58" fillId="13" borderId="69" xfId="2" applyFont="1" applyFill="1" applyBorder="1" applyAlignment="1">
      <alignment horizontal="left" vertical="center" wrapText="1"/>
    </xf>
    <xf numFmtId="0" fontId="60" fillId="13" borderId="69" xfId="2" quotePrefix="1" applyFont="1" applyFill="1" applyBorder="1" applyAlignment="1">
      <alignment horizontal="center" vertical="center"/>
    </xf>
    <xf numFmtId="3" fontId="60" fillId="13" borderId="69" xfId="2" quotePrefix="1" applyNumberFormat="1" applyFont="1" applyFill="1" applyBorder="1" applyAlignment="1">
      <alignment horizontal="center" vertical="center"/>
    </xf>
    <xf numFmtId="44" fontId="60" fillId="13" borderId="69" xfId="11" quotePrefix="1" applyFont="1" applyFill="1" applyBorder="1" applyAlignment="1">
      <alignment horizontal="right" vertical="center"/>
    </xf>
    <xf numFmtId="0" fontId="58" fillId="13" borderId="72" xfId="2" applyFont="1" applyFill="1" applyBorder="1" applyAlignment="1">
      <alignment horizontal="left" vertical="center" wrapText="1"/>
    </xf>
    <xf numFmtId="0" fontId="58" fillId="13" borderId="69" xfId="2" quotePrefix="1" applyFont="1" applyFill="1" applyBorder="1" applyAlignment="1">
      <alignment horizontal="center" vertical="center"/>
    </xf>
    <xf numFmtId="3" fontId="58" fillId="13" borderId="69" xfId="2" quotePrefix="1" applyNumberFormat="1" applyFont="1" applyFill="1" applyBorder="1" applyAlignment="1">
      <alignment horizontal="center" vertical="center"/>
    </xf>
    <xf numFmtId="44" fontId="58" fillId="13" borderId="69" xfId="9" quotePrefix="1" applyFont="1" applyFill="1" applyBorder="1" applyAlignment="1">
      <alignment vertical="center"/>
    </xf>
    <xf numFmtId="0" fontId="58" fillId="13" borderId="77" xfId="2" applyFont="1" applyFill="1" applyBorder="1" applyAlignment="1">
      <alignment horizontal="left" vertical="center" wrapText="1"/>
    </xf>
    <xf numFmtId="0" fontId="60" fillId="13" borderId="78" xfId="2" applyFont="1" applyFill="1" applyBorder="1" applyAlignment="1">
      <alignment horizontal="left" vertical="center" wrapText="1"/>
    </xf>
    <xf numFmtId="0" fontId="60" fillId="13" borderId="78" xfId="2" quotePrefix="1" applyFont="1" applyFill="1" applyBorder="1" applyAlignment="1">
      <alignment horizontal="center" vertical="center"/>
    </xf>
    <xf numFmtId="3" fontId="60" fillId="13" borderId="78" xfId="2" quotePrefix="1" applyNumberFormat="1" applyFont="1" applyFill="1" applyBorder="1" applyAlignment="1">
      <alignment horizontal="center" vertical="center"/>
    </xf>
    <xf numFmtId="44" fontId="60" fillId="13" borderId="78" xfId="9" quotePrefix="1" applyFont="1" applyFill="1" applyBorder="1" applyAlignment="1">
      <alignment vertical="center"/>
    </xf>
    <xf numFmtId="44" fontId="58" fillId="13" borderId="78" xfId="9" applyFont="1" applyFill="1" applyBorder="1" applyAlignment="1">
      <alignment vertical="center"/>
    </xf>
    <xf numFmtId="44" fontId="58" fillId="13" borderId="79" xfId="9" applyFont="1" applyFill="1" applyBorder="1" applyAlignment="1">
      <alignment vertical="center"/>
    </xf>
    <xf numFmtId="1" fontId="58" fillId="15" borderId="77" xfId="0" applyNumberFormat="1" applyFont="1" applyFill="1" applyBorder="1" applyAlignment="1">
      <alignment horizontal="center" vertical="center"/>
    </xf>
    <xf numFmtId="1" fontId="58" fillId="15" borderId="78" xfId="0" applyNumberFormat="1" applyFont="1" applyFill="1" applyBorder="1" applyAlignment="1">
      <alignment horizontal="center" vertical="center"/>
    </xf>
    <xf numFmtId="44" fontId="58" fillId="15" borderId="78" xfId="9" applyFont="1" applyFill="1" applyBorder="1" applyAlignment="1">
      <alignment vertical="center"/>
    </xf>
    <xf numFmtId="44" fontId="58" fillId="17" borderId="78" xfId="9" applyFont="1" applyFill="1" applyBorder="1" applyAlignment="1">
      <alignment vertical="center"/>
    </xf>
    <xf numFmtId="9" fontId="58" fillId="16" borderId="78" xfId="1" applyFont="1" applyFill="1" applyBorder="1" applyAlignment="1">
      <alignment vertical="center"/>
    </xf>
    <xf numFmtId="44" fontId="58" fillId="16" borderId="78" xfId="9" applyFont="1" applyFill="1" applyBorder="1" applyAlignment="1">
      <alignment vertical="center"/>
    </xf>
    <xf numFmtId="44" fontId="58" fillId="16" borderId="79" xfId="9" applyFont="1" applyFill="1" applyBorder="1" applyAlignment="1">
      <alignment vertical="center"/>
    </xf>
    <xf numFmtId="10" fontId="58" fillId="17" borderId="34" xfId="0" applyNumberFormat="1" applyFont="1" applyFill="1" applyBorder="1" applyAlignment="1">
      <alignment horizontal="center" vertical="center"/>
    </xf>
    <xf numFmtId="0" fontId="53" fillId="16" borderId="71" xfId="0" applyFont="1" applyFill="1" applyBorder="1" applyAlignment="1">
      <alignment vertical="center"/>
    </xf>
    <xf numFmtId="44" fontId="30" fillId="18" borderId="15" xfId="9" applyFont="1" applyFill="1" applyBorder="1" applyAlignment="1">
      <alignment horizontal="center"/>
    </xf>
    <xf numFmtId="0" fontId="30" fillId="18" borderId="5" xfId="0" applyFont="1" applyFill="1" applyBorder="1"/>
    <xf numFmtId="0" fontId="30" fillId="18" borderId="41" xfId="0" applyFont="1" applyFill="1" applyBorder="1"/>
    <xf numFmtId="0" fontId="30" fillId="18" borderId="41" xfId="0" applyFont="1" applyFill="1" applyBorder="1" applyAlignment="1">
      <alignment horizontal="center" vertical="center"/>
    </xf>
    <xf numFmtId="44" fontId="30" fillId="18" borderId="41" xfId="0" applyNumberFormat="1" applyFont="1" applyFill="1" applyBorder="1"/>
    <xf numFmtId="44" fontId="30" fillId="18" borderId="110" xfId="0" applyNumberFormat="1" applyFont="1" applyFill="1" applyBorder="1"/>
    <xf numFmtId="0" fontId="30" fillId="18" borderId="5" xfId="0" applyFont="1" applyFill="1" applyBorder="1" applyAlignment="1">
      <alignment horizontal="center"/>
    </xf>
    <xf numFmtId="0" fontId="30" fillId="18" borderId="41" xfId="0" applyFont="1" applyFill="1" applyBorder="1" applyAlignment="1">
      <alignment horizontal="center"/>
    </xf>
    <xf numFmtId="9" fontId="30" fillId="18" borderId="17" xfId="1" applyFont="1" applyFill="1" applyBorder="1"/>
    <xf numFmtId="44" fontId="30" fillId="18" borderId="0" xfId="9" applyFont="1" applyFill="1" applyBorder="1" applyAlignment="1">
      <alignment horizontal="center"/>
    </xf>
    <xf numFmtId="0" fontId="54" fillId="14" borderId="105" xfId="0" applyFont="1" applyFill="1" applyBorder="1" applyAlignment="1">
      <alignment horizontal="center" vertical="center"/>
    </xf>
    <xf numFmtId="44" fontId="30" fillId="18" borderId="16" xfId="9" applyFont="1" applyFill="1" applyBorder="1" applyAlignment="1">
      <alignment horizontal="center"/>
    </xf>
    <xf numFmtId="0" fontId="70" fillId="13" borderId="69" xfId="0" applyFont="1" applyFill="1" applyBorder="1"/>
    <xf numFmtId="44" fontId="71" fillId="13" borderId="69" xfId="9" applyFont="1" applyFill="1" applyBorder="1" applyAlignment="1">
      <alignment horizontal="center" vertical="center"/>
    </xf>
    <xf numFmtId="44" fontId="72" fillId="13" borderId="69" xfId="9" applyFont="1" applyFill="1" applyBorder="1" applyAlignment="1">
      <alignment vertical="center"/>
    </xf>
    <xf numFmtId="44" fontId="72" fillId="13" borderId="69" xfId="9" applyFont="1" applyFill="1" applyBorder="1"/>
    <xf numFmtId="44" fontId="42" fillId="0" borderId="69" xfId="9" applyFont="1" applyBorder="1"/>
    <xf numFmtId="0" fontId="73" fillId="0" borderId="69" xfId="0" applyFont="1" applyBorder="1" applyAlignment="1">
      <alignment horizontal="center"/>
    </xf>
    <xf numFmtId="0" fontId="74" fillId="0" borderId="69" xfId="0" applyFont="1" applyBorder="1" applyAlignment="1">
      <alignment horizontal="center"/>
    </xf>
    <xf numFmtId="170" fontId="31" fillId="14" borderId="73" xfId="9" applyNumberFormat="1" applyFont="1" applyFill="1" applyBorder="1" applyAlignment="1">
      <alignment horizontal="center" vertical="center"/>
    </xf>
    <xf numFmtId="1" fontId="47" fillId="15" borderId="53" xfId="0" applyNumberFormat="1" applyFont="1" applyFill="1" applyBorder="1" applyAlignment="1">
      <alignment horizontal="center" vertical="center"/>
    </xf>
    <xf numFmtId="1" fontId="47" fillId="15" borderId="11" xfId="0" applyNumberFormat="1" applyFont="1" applyFill="1" applyBorder="1" applyAlignment="1">
      <alignment horizontal="center" vertical="center"/>
    </xf>
    <xf numFmtId="1" fontId="47" fillId="15" borderId="11" xfId="0" applyNumberFormat="1" applyFont="1" applyFill="1" applyBorder="1" applyAlignment="1">
      <alignment vertical="center"/>
    </xf>
    <xf numFmtId="44" fontId="51" fillId="15" borderId="11" xfId="9" applyFont="1" applyFill="1" applyBorder="1" applyAlignment="1">
      <alignment vertical="center"/>
    </xf>
    <xf numFmtId="10" fontId="50" fillId="17" borderId="69" xfId="1" applyNumberFormat="1" applyFont="1" applyFill="1" applyBorder="1" applyAlignment="1">
      <alignment horizontal="center" vertical="center"/>
    </xf>
    <xf numFmtId="1" fontId="47" fillId="15" borderId="93" xfId="0" applyNumberFormat="1" applyFont="1" applyFill="1" applyBorder="1" applyAlignment="1">
      <alignment horizontal="center" vertical="center"/>
    </xf>
    <xf numFmtId="44" fontId="51" fillId="15" borderId="83" xfId="9" applyFont="1" applyFill="1" applyBorder="1" applyAlignment="1">
      <alignment vertical="center"/>
    </xf>
    <xf numFmtId="44" fontId="51" fillId="15" borderId="70" xfId="9" applyFont="1" applyFill="1" applyBorder="1" applyAlignment="1">
      <alignment vertical="center"/>
    </xf>
    <xf numFmtId="44" fontId="47" fillId="13" borderId="69" xfId="9" applyFont="1" applyFill="1" applyBorder="1" applyAlignment="1">
      <alignment horizontal="center" vertical="center"/>
    </xf>
    <xf numFmtId="1" fontId="47" fillId="15" borderId="68" xfId="0" applyNumberFormat="1" applyFont="1" applyFill="1" applyBorder="1" applyAlignment="1">
      <alignment horizontal="center" vertical="center"/>
    </xf>
    <xf numFmtId="1" fontId="47" fillId="15" borderId="68" xfId="0" applyNumberFormat="1" applyFont="1" applyFill="1" applyBorder="1" applyAlignment="1">
      <alignment vertical="center"/>
    </xf>
    <xf numFmtId="44" fontId="47" fillId="15" borderId="68" xfId="9" applyFont="1" applyFill="1" applyBorder="1" applyAlignment="1">
      <alignment vertical="center"/>
    </xf>
    <xf numFmtId="44" fontId="51" fillId="15" borderId="68" xfId="9" applyFont="1" applyFill="1" applyBorder="1" applyAlignment="1">
      <alignment vertical="center"/>
    </xf>
    <xf numFmtId="44" fontId="47" fillId="17" borderId="68" xfId="9" applyFont="1" applyFill="1" applyBorder="1" applyAlignment="1">
      <alignment vertical="center"/>
    </xf>
    <xf numFmtId="9" fontId="47" fillId="16" borderId="68" xfId="1" applyFont="1" applyFill="1" applyBorder="1" applyAlignment="1">
      <alignment vertical="center"/>
    </xf>
    <xf numFmtId="44" fontId="47" fillId="16" borderId="68" xfId="9" applyFont="1" applyFill="1" applyBorder="1" applyAlignment="1">
      <alignment vertical="center"/>
    </xf>
    <xf numFmtId="10" fontId="47" fillId="17" borderId="0" xfId="0" applyNumberFormat="1" applyFont="1" applyFill="1" applyAlignment="1">
      <alignment horizontal="center" vertical="center"/>
    </xf>
    <xf numFmtId="10" fontId="47" fillId="17" borderId="70" xfId="0" applyNumberFormat="1" applyFont="1" applyFill="1" applyBorder="1" applyAlignment="1">
      <alignment horizontal="center" vertical="center"/>
    </xf>
    <xf numFmtId="170" fontId="31" fillId="12" borderId="70" xfId="0" applyNumberFormat="1" applyFont="1" applyFill="1" applyBorder="1" applyAlignment="1">
      <alignment horizontal="right"/>
    </xf>
    <xf numFmtId="170" fontId="31" fillId="12" borderId="54" xfId="0" applyNumberFormat="1" applyFont="1" applyFill="1" applyBorder="1" applyAlignment="1">
      <alignment horizontal="right"/>
    </xf>
    <xf numFmtId="44" fontId="31" fillId="12" borderId="71" xfId="0" applyNumberFormat="1" applyFont="1" applyFill="1" applyBorder="1" applyAlignment="1">
      <alignment horizontal="right"/>
    </xf>
    <xf numFmtId="44" fontId="45" fillId="17" borderId="71" xfId="0" applyNumberFormat="1" applyFont="1" applyFill="1" applyBorder="1"/>
    <xf numFmtId="0" fontId="39" fillId="16" borderId="71" xfId="0" applyFont="1" applyFill="1" applyBorder="1"/>
    <xf numFmtId="44" fontId="45" fillId="16" borderId="71" xfId="0" applyNumberFormat="1" applyFont="1" applyFill="1" applyBorder="1"/>
    <xf numFmtId="44" fontId="45" fillId="16" borderId="96" xfId="9" applyFont="1" applyFill="1" applyBorder="1"/>
    <xf numFmtId="44" fontId="31" fillId="18" borderId="15" xfId="9" applyFont="1" applyFill="1" applyBorder="1" applyAlignment="1">
      <alignment horizontal="center"/>
    </xf>
    <xf numFmtId="10" fontId="44" fillId="6" borderId="130" xfId="5" applyNumberFormat="1" applyFont="1" applyFill="1" applyBorder="1" applyAlignment="1">
      <alignment horizontal="center" vertical="center" wrapText="1"/>
    </xf>
    <xf numFmtId="44" fontId="31" fillId="14" borderId="11" xfId="9" applyFont="1" applyFill="1" applyBorder="1" applyAlignment="1">
      <alignment horizontal="center" vertical="center"/>
    </xf>
    <xf numFmtId="10" fontId="50" fillId="17" borderId="11" xfId="9" applyNumberFormat="1" applyFont="1" applyFill="1" applyBorder="1" applyAlignment="1">
      <alignment horizontal="center" vertical="center"/>
    </xf>
    <xf numFmtId="10" fontId="47" fillId="17" borderId="11" xfId="0" applyNumberFormat="1" applyFont="1" applyFill="1" applyBorder="1" applyAlignment="1">
      <alignment horizontal="center" vertical="center"/>
    </xf>
    <xf numFmtId="44" fontId="31" fillId="18" borderId="16" xfId="9" applyFont="1" applyFill="1" applyBorder="1" applyAlignment="1">
      <alignment horizontal="center"/>
    </xf>
    <xf numFmtId="44" fontId="31" fillId="18" borderId="18" xfId="9" applyFont="1" applyFill="1" applyBorder="1"/>
    <xf numFmtId="165" fontId="44" fillId="6" borderId="80" xfId="4" applyFont="1" applyFill="1" applyBorder="1" applyAlignment="1">
      <alignment horizontal="center" vertical="center" wrapText="1"/>
    </xf>
    <xf numFmtId="44" fontId="67" fillId="13" borderId="69" xfId="9" applyFont="1" applyFill="1" applyBorder="1" applyAlignment="1">
      <alignment horizontal="center" vertical="center"/>
    </xf>
    <xf numFmtId="0" fontId="70" fillId="0" borderId="0" xfId="0" applyFont="1"/>
    <xf numFmtId="0" fontId="36" fillId="0" borderId="0" xfId="2" applyFont="1" applyAlignment="1">
      <alignment vertical="center" wrapText="1"/>
    </xf>
    <xf numFmtId="0" fontId="36" fillId="0" borderId="0" xfId="2" applyFont="1" applyAlignment="1">
      <alignment vertical="top"/>
    </xf>
    <xf numFmtId="0" fontId="42" fillId="23" borderId="0" xfId="0" applyFont="1" applyFill="1" applyAlignment="1">
      <alignment horizontal="left" vertical="center"/>
    </xf>
    <xf numFmtId="0" fontId="39" fillId="23" borderId="0" xfId="0" applyFont="1" applyFill="1" applyAlignment="1">
      <alignment horizontal="center"/>
    </xf>
    <xf numFmtId="0" fontId="39" fillId="23" borderId="0" xfId="0" applyFont="1" applyFill="1"/>
    <xf numFmtId="0" fontId="39" fillId="0" borderId="0" xfId="0" applyFont="1" applyAlignment="1">
      <alignment vertical="center"/>
    </xf>
    <xf numFmtId="0" fontId="31" fillId="12" borderId="9" xfId="0" applyFont="1" applyFill="1" applyBorder="1" applyAlignment="1">
      <alignment vertical="center"/>
    </xf>
    <xf numFmtId="0" fontId="31" fillId="12" borderId="109" xfId="0" applyFont="1" applyFill="1" applyBorder="1" applyAlignment="1">
      <alignment vertical="center"/>
    </xf>
    <xf numFmtId="0" fontId="31" fillId="12" borderId="109" xfId="0" applyFont="1" applyFill="1" applyBorder="1" applyAlignment="1">
      <alignment horizontal="center" vertical="center"/>
    </xf>
    <xf numFmtId="0" fontId="45" fillId="14" borderId="109" xfId="0" applyFont="1" applyFill="1" applyBorder="1" applyAlignment="1">
      <alignment horizontal="center" vertical="center"/>
    </xf>
    <xf numFmtId="0" fontId="45" fillId="14" borderId="10" xfId="0" applyFont="1" applyFill="1" applyBorder="1" applyAlignment="1">
      <alignment horizontal="center" vertical="center"/>
    </xf>
    <xf numFmtId="0" fontId="47" fillId="13" borderId="83" xfId="0" applyFont="1" applyFill="1" applyBorder="1" applyAlignment="1">
      <alignment vertical="center" wrapText="1"/>
    </xf>
    <xf numFmtId="0" fontId="47" fillId="13" borderId="69" xfId="0" applyFont="1" applyFill="1" applyBorder="1" applyAlignment="1">
      <alignment vertical="center" wrapText="1"/>
    </xf>
    <xf numFmtId="0" fontId="6" fillId="0" borderId="0" xfId="2" applyFont="1" applyAlignment="1">
      <alignment vertical="center" wrapText="1"/>
    </xf>
    <xf numFmtId="0" fontId="6" fillId="0" borderId="0" xfId="2" applyFont="1" applyAlignment="1">
      <alignment vertical="top"/>
    </xf>
    <xf numFmtId="0" fontId="54" fillId="23" borderId="0" xfId="0" applyFont="1" applyFill="1" applyAlignment="1">
      <alignment horizontal="left" vertical="center"/>
    </xf>
    <xf numFmtId="0" fontId="53" fillId="23" borderId="0" xfId="0" applyFont="1" applyFill="1" applyAlignment="1">
      <alignment horizontal="center"/>
    </xf>
    <xf numFmtId="0" fontId="53" fillId="23" borderId="0" xfId="0" applyFont="1" applyFill="1"/>
    <xf numFmtId="9" fontId="20" fillId="6" borderId="75" xfId="1" applyFont="1" applyFill="1" applyBorder="1" applyAlignment="1">
      <alignment horizontal="center" vertical="center" wrapText="1"/>
    </xf>
    <xf numFmtId="0" fontId="20" fillId="14" borderId="109" xfId="0" applyFont="1" applyFill="1" applyBorder="1" applyAlignment="1">
      <alignment horizontal="center" vertical="center"/>
    </xf>
    <xf numFmtId="0" fontId="20" fillId="14" borderId="10" xfId="0" applyFont="1" applyFill="1" applyBorder="1" applyAlignment="1">
      <alignment horizontal="center" vertical="center"/>
    </xf>
    <xf numFmtId="0" fontId="58" fillId="13" borderId="83" xfId="0" applyFont="1" applyFill="1" applyBorder="1" applyAlignment="1">
      <alignment vertical="center" wrapText="1"/>
    </xf>
    <xf numFmtId="0" fontId="58" fillId="0" borderId="83" xfId="0" applyFont="1" applyBorder="1" applyAlignment="1">
      <alignment horizontal="center" vertical="center"/>
    </xf>
    <xf numFmtId="1" fontId="63" fillId="15" borderId="72" xfId="0" applyNumberFormat="1" applyFont="1" applyFill="1" applyBorder="1" applyAlignment="1">
      <alignment horizontal="center" vertical="center"/>
    </xf>
    <xf numFmtId="1" fontId="63" fillId="15" borderId="69" xfId="0" applyNumberFormat="1" applyFont="1" applyFill="1" applyBorder="1" applyAlignment="1">
      <alignment horizontal="center" vertical="center"/>
    </xf>
    <xf numFmtId="0" fontId="58" fillId="13" borderId="69" xfId="0" applyFont="1" applyFill="1" applyBorder="1" applyAlignment="1">
      <alignment vertical="center" wrapText="1"/>
    </xf>
    <xf numFmtId="8" fontId="58" fillId="13" borderId="69" xfId="9" applyNumberFormat="1" applyFont="1" applyFill="1" applyBorder="1" applyAlignment="1">
      <alignment vertical="center"/>
    </xf>
    <xf numFmtId="0" fontId="53" fillId="16" borderId="69" xfId="0" applyFont="1" applyFill="1" applyBorder="1" applyAlignment="1">
      <alignment vertical="center"/>
    </xf>
    <xf numFmtId="0" fontId="20" fillId="14" borderId="113" xfId="0" applyFont="1" applyFill="1" applyBorder="1" applyAlignment="1">
      <alignment horizontal="center" vertical="center"/>
    </xf>
    <xf numFmtId="0" fontId="20" fillId="14" borderId="126" xfId="0" applyFont="1" applyFill="1" applyBorder="1" applyAlignment="1">
      <alignment horizontal="center" vertical="center"/>
    </xf>
    <xf numFmtId="0" fontId="54" fillId="14" borderId="76" xfId="0" applyFont="1" applyFill="1" applyBorder="1" applyAlignment="1">
      <alignment horizontal="center" vertical="center"/>
    </xf>
    <xf numFmtId="0" fontId="58" fillId="0" borderId="93" xfId="0" applyFont="1" applyBorder="1" applyAlignment="1">
      <alignment horizontal="left" vertical="center" wrapText="1"/>
    </xf>
    <xf numFmtId="0" fontId="58" fillId="0" borderId="83" xfId="0" applyFont="1" applyBorder="1" applyAlignment="1">
      <alignment horizontal="left" vertical="center" wrapText="1"/>
    </xf>
    <xf numFmtId="0" fontId="58" fillId="13" borderId="69" xfId="0" applyFont="1" applyFill="1" applyBorder="1" applyAlignment="1">
      <alignment horizontal="center" vertical="center" wrapText="1"/>
    </xf>
    <xf numFmtId="0" fontId="53" fillId="16" borderId="69" xfId="0" applyFont="1" applyFill="1" applyBorder="1"/>
    <xf numFmtId="0" fontId="30" fillId="18" borderId="125" xfId="0" applyFont="1" applyFill="1" applyBorder="1"/>
    <xf numFmtId="0" fontId="30" fillId="18" borderId="113" xfId="0" applyFont="1" applyFill="1" applyBorder="1"/>
    <xf numFmtId="0" fontId="30" fillId="18" borderId="113" xfId="0" applyFont="1" applyFill="1" applyBorder="1" applyAlignment="1">
      <alignment horizontal="center"/>
    </xf>
    <xf numFmtId="4" fontId="30" fillId="18" borderId="113" xfId="0" applyNumberFormat="1" applyFont="1" applyFill="1" applyBorder="1"/>
    <xf numFmtId="44" fontId="30" fillId="18" borderId="113" xfId="0" applyNumberFormat="1" applyFont="1" applyFill="1" applyBorder="1"/>
    <xf numFmtId="44" fontId="67" fillId="13" borderId="69" xfId="0" applyNumberFormat="1" applyFont="1" applyFill="1" applyBorder="1" applyAlignment="1">
      <alignment horizontal="center" vertical="center"/>
    </xf>
    <xf numFmtId="0" fontId="36" fillId="6" borderId="39" xfId="3" applyFont="1" applyFill="1" applyBorder="1" applyAlignment="1">
      <alignment horizontal="left" vertical="center"/>
    </xf>
    <xf numFmtId="0" fontId="36" fillId="6" borderId="38" xfId="3" applyFont="1" applyFill="1" applyBorder="1" applyAlignment="1">
      <alignment horizontal="center" vertical="center"/>
    </xf>
    <xf numFmtId="0" fontId="45" fillId="6" borderId="38" xfId="3" applyFont="1" applyFill="1" applyBorder="1" applyAlignment="1">
      <alignment horizontal="center" vertical="center"/>
    </xf>
    <xf numFmtId="167" fontId="45" fillId="6" borderId="38" xfId="3" applyNumberFormat="1" applyFont="1" applyFill="1" applyBorder="1" applyAlignment="1">
      <alignment horizontal="center" vertical="center" wrapText="1"/>
    </xf>
    <xf numFmtId="0" fontId="45" fillId="6" borderId="38" xfId="3" applyFont="1" applyFill="1" applyBorder="1" applyAlignment="1">
      <alignment horizontal="center" vertical="center" wrapText="1"/>
    </xf>
    <xf numFmtId="9" fontId="45" fillId="6" borderId="38" xfId="1" applyFont="1" applyFill="1" applyBorder="1" applyAlignment="1">
      <alignment horizontal="center" vertical="center" wrapText="1"/>
    </xf>
    <xf numFmtId="10" fontId="45" fillId="6" borderId="38" xfId="1" applyNumberFormat="1" applyFont="1" applyFill="1" applyBorder="1" applyAlignment="1">
      <alignment horizontal="center" vertical="center" wrapText="1"/>
    </xf>
    <xf numFmtId="0" fontId="45" fillId="6" borderId="40" xfId="3" applyFont="1" applyFill="1" applyBorder="1" applyAlignment="1">
      <alignment horizontal="center" vertical="center" wrapText="1"/>
    </xf>
    <xf numFmtId="37" fontId="44" fillId="6" borderId="39" xfId="3" applyNumberFormat="1" applyFont="1" applyFill="1" applyBorder="1" applyAlignment="1">
      <alignment horizontal="center" vertical="center"/>
    </xf>
    <xf numFmtId="37" fontId="44" fillId="6" borderId="38" xfId="3" applyNumberFormat="1" applyFont="1" applyFill="1" applyBorder="1" applyAlignment="1">
      <alignment horizontal="center" vertical="center"/>
    </xf>
    <xf numFmtId="40" fontId="44" fillId="6" borderId="38" xfId="4" applyNumberFormat="1" applyFont="1" applyFill="1" applyBorder="1" applyAlignment="1">
      <alignment horizontal="center" vertical="center"/>
    </xf>
    <xf numFmtId="165" fontId="44" fillId="6" borderId="38" xfId="4" applyFont="1" applyFill="1" applyBorder="1" applyAlignment="1">
      <alignment horizontal="right" vertical="center"/>
    </xf>
    <xf numFmtId="40" fontId="44" fillId="6" borderId="38" xfId="4" applyNumberFormat="1" applyFont="1" applyFill="1" applyBorder="1" applyAlignment="1">
      <alignment horizontal="center" vertical="center" wrapText="1"/>
    </xf>
    <xf numFmtId="10" fontId="44" fillId="6" borderId="38" xfId="5" applyNumberFormat="1" applyFont="1" applyFill="1" applyBorder="1" applyAlignment="1">
      <alignment horizontal="center" vertical="center" wrapText="1"/>
    </xf>
    <xf numFmtId="165" fontId="44" fillId="6" borderId="38" xfId="4" applyFont="1" applyFill="1" applyBorder="1" applyAlignment="1">
      <alignment horizontal="center" vertical="center" wrapText="1"/>
    </xf>
    <xf numFmtId="165" fontId="44" fillId="6" borderId="40" xfId="4" applyFont="1" applyFill="1" applyBorder="1" applyAlignment="1">
      <alignment horizontal="center" vertical="center" wrapText="1"/>
    </xf>
    <xf numFmtId="0" fontId="47" fillId="13" borderId="74" xfId="0" applyFont="1" applyFill="1" applyBorder="1" applyAlignment="1">
      <alignment horizontal="left" vertical="center" wrapText="1"/>
    </xf>
    <xf numFmtId="0" fontId="47" fillId="13" borderId="75" xfId="0" applyFont="1" applyFill="1" applyBorder="1" applyAlignment="1">
      <alignment vertical="center" wrapText="1"/>
    </xf>
    <xf numFmtId="0" fontId="47" fillId="13" borderId="75" xfId="0" applyFont="1" applyFill="1" applyBorder="1" applyAlignment="1">
      <alignment horizontal="center" vertical="center"/>
    </xf>
    <xf numFmtId="44" fontId="47" fillId="0" borderId="75" xfId="9" applyFont="1" applyBorder="1" applyAlignment="1">
      <alignment vertical="center"/>
    </xf>
    <xf numFmtId="44" fontId="47" fillId="13" borderId="75" xfId="9" applyFont="1" applyFill="1" applyBorder="1" applyAlignment="1">
      <alignment vertical="center"/>
    </xf>
    <xf numFmtId="44" fontId="47" fillId="13" borderId="95" xfId="9" applyFont="1" applyFill="1" applyBorder="1" applyAlignment="1">
      <alignment vertical="center"/>
    </xf>
    <xf numFmtId="1" fontId="47" fillId="15" borderId="70" xfId="0" applyNumberFormat="1" applyFont="1" applyFill="1" applyBorder="1" applyAlignment="1">
      <alignment horizontal="center" vertical="center"/>
    </xf>
    <xf numFmtId="0" fontId="47" fillId="13" borderId="85" xfId="0" applyFont="1" applyFill="1" applyBorder="1" applyAlignment="1">
      <alignment horizontal="left" vertical="center" wrapText="1"/>
    </xf>
    <xf numFmtId="0" fontId="47" fillId="13" borderId="71" xfId="0" applyFont="1" applyFill="1" applyBorder="1" applyAlignment="1">
      <alignment horizontal="center" vertical="center"/>
    </xf>
    <xf numFmtId="44" fontId="47" fillId="13" borderId="71" xfId="9" applyFont="1" applyFill="1" applyBorder="1" applyAlignment="1">
      <alignment vertical="center"/>
    </xf>
    <xf numFmtId="44" fontId="47" fillId="13" borderId="86" xfId="9" applyFont="1" applyFill="1" applyBorder="1" applyAlignment="1">
      <alignment vertical="center"/>
    </xf>
    <xf numFmtId="44" fontId="52" fillId="15" borderId="70" xfId="9" applyFont="1" applyFill="1" applyBorder="1" applyAlignment="1">
      <alignment vertical="center"/>
    </xf>
    <xf numFmtId="1" fontId="47" fillId="15" borderId="89" xfId="0" applyNumberFormat="1" applyFont="1" applyFill="1" applyBorder="1" applyAlignment="1">
      <alignment horizontal="center" vertical="center"/>
    </xf>
    <xf numFmtId="44" fontId="47" fillId="13" borderId="94" xfId="9" applyFont="1" applyFill="1" applyBorder="1" applyAlignment="1">
      <alignment vertical="center"/>
    </xf>
    <xf numFmtId="1" fontId="47" fillId="15" borderId="51" xfId="0" applyNumberFormat="1" applyFont="1" applyFill="1" applyBorder="1" applyAlignment="1">
      <alignment horizontal="center" vertical="center"/>
    </xf>
    <xf numFmtId="44" fontId="47" fillId="16" borderId="86" xfId="9" applyFont="1" applyFill="1" applyBorder="1" applyAlignment="1">
      <alignment vertical="center"/>
    </xf>
    <xf numFmtId="0" fontId="31" fillId="12" borderId="19" xfId="0" applyFont="1" applyFill="1" applyBorder="1" applyAlignment="1">
      <alignment vertical="center"/>
    </xf>
    <xf numFmtId="0" fontId="31" fillId="12" borderId="0" xfId="0" applyFont="1" applyFill="1" applyAlignment="1">
      <alignment vertical="center"/>
    </xf>
    <xf numFmtId="0" fontId="31" fillId="12" borderId="0" xfId="0" applyFont="1" applyFill="1" applyAlignment="1">
      <alignment horizontal="center" vertical="center"/>
    </xf>
    <xf numFmtId="170" fontId="31" fillId="12" borderId="0" xfId="0" applyNumberFormat="1" applyFont="1" applyFill="1" applyAlignment="1">
      <alignment horizontal="right" vertical="center"/>
    </xf>
    <xf numFmtId="170" fontId="31" fillId="12" borderId="112" xfId="0" applyNumberFormat="1" applyFont="1" applyFill="1" applyBorder="1" applyAlignment="1">
      <alignment horizontal="right" vertical="center"/>
    </xf>
    <xf numFmtId="44" fontId="31" fillId="12" borderId="71" xfId="0" applyNumberFormat="1" applyFont="1" applyFill="1" applyBorder="1" applyAlignment="1">
      <alignment horizontal="right" vertical="center"/>
    </xf>
    <xf numFmtId="44" fontId="45" fillId="17" borderId="71" xfId="0" applyNumberFormat="1" applyFont="1" applyFill="1" applyBorder="1" applyAlignment="1">
      <alignment vertical="center"/>
    </xf>
    <xf numFmtId="0" fontId="39" fillId="16" borderId="71" xfId="0" applyFont="1" applyFill="1" applyBorder="1" applyAlignment="1">
      <alignment vertical="center"/>
    </xf>
    <xf numFmtId="44" fontId="45" fillId="16" borderId="71" xfId="0" applyNumberFormat="1" applyFont="1" applyFill="1" applyBorder="1" applyAlignment="1">
      <alignment vertical="center"/>
    </xf>
    <xf numFmtId="44" fontId="45" fillId="16" borderId="86" xfId="9" applyFont="1" applyFill="1" applyBorder="1" applyAlignment="1">
      <alignment vertical="center"/>
    </xf>
    <xf numFmtId="0" fontId="42" fillId="14" borderId="131" xfId="0" applyFont="1" applyFill="1" applyBorder="1" applyAlignment="1">
      <alignment horizontal="center" vertical="center"/>
    </xf>
    <xf numFmtId="10" fontId="47" fillId="17" borderId="51" xfId="0" applyNumberFormat="1" applyFont="1" applyFill="1" applyBorder="1" applyAlignment="1">
      <alignment horizontal="center" vertical="center"/>
    </xf>
    <xf numFmtId="0" fontId="76" fillId="0" borderId="69" xfId="0" applyFont="1" applyBorder="1" applyAlignment="1">
      <alignment horizontal="center"/>
    </xf>
    <xf numFmtId="0" fontId="77" fillId="0" borderId="69" xfId="0" applyFont="1" applyBorder="1" applyAlignment="1">
      <alignment horizontal="center"/>
    </xf>
    <xf numFmtId="0" fontId="38" fillId="0" borderId="69" xfId="0" applyFont="1" applyBorder="1" applyAlignment="1">
      <alignment horizontal="center"/>
    </xf>
    <xf numFmtId="0" fontId="38" fillId="0" borderId="69" xfId="0" applyFont="1" applyBorder="1"/>
    <xf numFmtId="44" fontId="78" fillId="26" borderId="69" xfId="9" applyFont="1" applyFill="1" applyBorder="1"/>
    <xf numFmtId="0" fontId="53" fillId="13" borderId="0" xfId="0" applyFont="1" applyFill="1" applyAlignment="1">
      <alignment horizontal="center" vertical="center"/>
    </xf>
    <xf numFmtId="0" fontId="54" fillId="30" borderId="69" xfId="0" applyFont="1" applyFill="1" applyBorder="1" applyAlignment="1">
      <alignment horizontal="center" vertical="center"/>
    </xf>
    <xf numFmtId="0" fontId="54" fillId="30" borderId="69" xfId="0" applyFont="1" applyFill="1" applyBorder="1" applyAlignment="1">
      <alignment horizontal="center" vertical="center" wrapText="1"/>
    </xf>
    <xf numFmtId="44" fontId="77" fillId="0" borderId="69" xfId="9" applyFont="1" applyBorder="1"/>
    <xf numFmtId="9" fontId="77" fillId="0" borderId="69" xfId="1" applyFont="1" applyBorder="1" applyAlignment="1">
      <alignment horizontal="center"/>
    </xf>
    <xf numFmtId="44" fontId="76" fillId="0" borderId="69" xfId="9" applyFont="1" applyBorder="1"/>
    <xf numFmtId="0" fontId="42" fillId="30" borderId="69" xfId="0" applyFont="1" applyFill="1" applyBorder="1" applyAlignment="1">
      <alignment horizontal="center" vertical="center"/>
    </xf>
    <xf numFmtId="0" fontId="42" fillId="30" borderId="69" xfId="0" applyFont="1" applyFill="1" applyBorder="1" applyAlignment="1">
      <alignment horizontal="center"/>
    </xf>
    <xf numFmtId="0" fontId="42" fillId="13" borderId="69" xfId="0" applyFont="1" applyFill="1" applyBorder="1" applyAlignment="1">
      <alignment horizontal="center"/>
    </xf>
    <xf numFmtId="44" fontId="79" fillId="0" borderId="69" xfId="9" applyFont="1" applyBorder="1"/>
    <xf numFmtId="0" fontId="80" fillId="0" borderId="69" xfId="0" applyFont="1" applyBorder="1" applyAlignment="1">
      <alignment horizontal="center"/>
    </xf>
    <xf numFmtId="0" fontId="81" fillId="0" borderId="69" xfId="0" applyFont="1" applyBorder="1" applyAlignment="1">
      <alignment horizontal="center"/>
    </xf>
    <xf numFmtId="44" fontId="81" fillId="0" borderId="69" xfId="9" applyFont="1" applyBorder="1"/>
    <xf numFmtId="9" fontId="81" fillId="0" borderId="69" xfId="1" applyFont="1" applyBorder="1" applyAlignment="1">
      <alignment horizontal="center"/>
    </xf>
    <xf numFmtId="44" fontId="80" fillId="0" borderId="69" xfId="9" applyFont="1" applyBorder="1"/>
    <xf numFmtId="0" fontId="58" fillId="0" borderId="0" xfId="0" applyFont="1"/>
    <xf numFmtId="0" fontId="58" fillId="0" borderId="0" xfId="0" applyFont="1" applyAlignment="1">
      <alignment horizontal="center"/>
    </xf>
    <xf numFmtId="16" fontId="58" fillId="29" borderId="15" xfId="0" applyNumberFormat="1" applyFont="1" applyFill="1" applyBorder="1"/>
    <xf numFmtId="16" fontId="58" fillId="29" borderId="16" xfId="0" applyNumberFormat="1" applyFont="1" applyFill="1" applyBorder="1"/>
    <xf numFmtId="16" fontId="58" fillId="28" borderId="17" xfId="0" applyNumberFormat="1" applyFont="1" applyFill="1" applyBorder="1"/>
    <xf numFmtId="16" fontId="58" fillId="28" borderId="18" xfId="0" applyNumberFormat="1" applyFont="1" applyFill="1" applyBorder="1"/>
    <xf numFmtId="0" fontId="58" fillId="27" borderId="19" xfId="0" applyFont="1" applyFill="1" applyBorder="1" applyAlignment="1">
      <alignment horizontal="right"/>
    </xf>
    <xf numFmtId="0" fontId="58" fillId="27" borderId="0" xfId="0" applyFont="1" applyFill="1" applyAlignment="1">
      <alignment horizontal="right"/>
    </xf>
    <xf numFmtId="0" fontId="30" fillId="19" borderId="17" xfId="0" applyFont="1" applyFill="1" applyBorder="1"/>
    <xf numFmtId="0" fontId="30" fillId="19" borderId="18" xfId="0" applyFont="1" applyFill="1" applyBorder="1"/>
    <xf numFmtId="164" fontId="6" fillId="0" borderId="0" xfId="2" applyNumberFormat="1" applyFont="1" applyAlignment="1" applyProtection="1">
      <alignment horizontal="left" vertical="center"/>
      <protection locked="0"/>
    </xf>
    <xf numFmtId="0" fontId="6" fillId="0" borderId="0" xfId="2" applyFont="1" applyAlignment="1" applyProtection="1">
      <alignment horizontal="left" vertical="center"/>
      <protection locked="0"/>
    </xf>
    <xf numFmtId="14" fontId="6" fillId="0" borderId="0" xfId="2" applyNumberFormat="1" applyFont="1" applyAlignment="1" applyProtection="1">
      <alignment horizontal="left" vertical="center"/>
      <protection locked="0"/>
    </xf>
    <xf numFmtId="44" fontId="20" fillId="0" borderId="69" xfId="0" applyNumberFormat="1" applyFont="1" applyBorder="1"/>
    <xf numFmtId="9" fontId="20" fillId="0" borderId="10" xfId="1" applyFont="1" applyBorder="1" applyAlignment="1">
      <alignment horizontal="center"/>
    </xf>
    <xf numFmtId="44" fontId="20" fillId="13" borderId="0" xfId="0" applyNumberFormat="1" applyFont="1" applyFill="1"/>
    <xf numFmtId="44" fontId="6" fillId="13" borderId="69" xfId="0" applyNumberFormat="1" applyFont="1" applyFill="1" applyBorder="1" applyAlignment="1">
      <alignment horizontal="center" vertical="center"/>
    </xf>
    <xf numFmtId="44" fontId="6" fillId="13" borderId="69" xfId="0" applyNumberFormat="1" applyFont="1" applyFill="1" applyBorder="1"/>
    <xf numFmtId="44" fontId="58" fillId="0" borderId="0" xfId="0" applyNumberFormat="1" applyFont="1"/>
    <xf numFmtId="9" fontId="58" fillId="0" borderId="0" xfId="1" applyFont="1" applyAlignment="1">
      <alignment horizontal="center"/>
    </xf>
    <xf numFmtId="44" fontId="63" fillId="0" borderId="0" xfId="9" applyFont="1"/>
    <xf numFmtId="44" fontId="38" fillId="22" borderId="69" xfId="9" applyFont="1" applyFill="1" applyBorder="1"/>
    <xf numFmtId="44" fontId="69" fillId="22" borderId="69" xfId="9" applyFont="1" applyFill="1" applyBorder="1" applyAlignment="1">
      <alignment vertical="center"/>
    </xf>
    <xf numFmtId="44" fontId="72" fillId="22" borderId="69" xfId="9" applyFont="1" applyFill="1" applyBorder="1"/>
    <xf numFmtId="44" fontId="69" fillId="22" borderId="69" xfId="9" applyFont="1" applyFill="1" applyBorder="1"/>
    <xf numFmtId="0" fontId="38" fillId="13" borderId="69" xfId="0" applyFont="1" applyFill="1" applyBorder="1" applyAlignment="1">
      <alignment horizontal="center" wrapText="1"/>
    </xf>
    <xf numFmtId="44" fontId="72" fillId="22" borderId="69" xfId="9" applyFont="1" applyFill="1" applyBorder="1" applyAlignment="1">
      <alignment vertical="center"/>
    </xf>
    <xf numFmtId="0" fontId="84" fillId="22" borderId="0" xfId="0" applyFont="1" applyFill="1"/>
    <xf numFmtId="44" fontId="84" fillId="22" borderId="0" xfId="0" applyNumberFormat="1" applyFont="1" applyFill="1"/>
    <xf numFmtId="0" fontId="58" fillId="13" borderId="0" xfId="0" applyFont="1" applyFill="1"/>
    <xf numFmtId="0" fontId="30" fillId="13" borderId="0" xfId="0" applyFont="1" applyFill="1" applyAlignment="1">
      <alignment horizontal="center"/>
    </xf>
    <xf numFmtId="44" fontId="30" fillId="13" borderId="0" xfId="0" applyNumberFormat="1" applyFont="1" applyFill="1"/>
    <xf numFmtId="9" fontId="30" fillId="13" borderId="0" xfId="0" applyNumberFormat="1" applyFont="1" applyFill="1" applyAlignment="1">
      <alignment horizontal="center"/>
    </xf>
    <xf numFmtId="44" fontId="85" fillId="13" borderId="0" xfId="0" applyNumberFormat="1" applyFont="1" applyFill="1"/>
    <xf numFmtId="170" fontId="58" fillId="0" borderId="0" xfId="0" applyNumberFormat="1" applyFont="1"/>
    <xf numFmtId="9" fontId="58" fillId="0" borderId="0" xfId="1" applyFont="1"/>
    <xf numFmtId="44" fontId="83" fillId="13" borderId="69" xfId="9" applyFont="1" applyFill="1" applyBorder="1" applyAlignment="1">
      <alignment horizontal="center" vertical="center" wrapText="1"/>
    </xf>
    <xf numFmtId="44" fontId="6" fillId="13" borderId="69" xfId="9" applyFont="1" applyFill="1" applyBorder="1" applyAlignment="1">
      <alignment horizontal="center" vertical="center"/>
    </xf>
    <xf numFmtId="44" fontId="6" fillId="13" borderId="69" xfId="9" applyFont="1" applyFill="1" applyBorder="1"/>
    <xf numFmtId="0" fontId="6" fillId="13" borderId="72" xfId="0" applyFont="1" applyFill="1" applyBorder="1" applyAlignment="1">
      <alignment horizontal="center"/>
    </xf>
    <xf numFmtId="0" fontId="6" fillId="13" borderId="72" xfId="0" applyFont="1" applyFill="1" applyBorder="1" applyAlignment="1">
      <alignment horizontal="center" wrapText="1"/>
    </xf>
    <xf numFmtId="9" fontId="82" fillId="13" borderId="73" xfId="1" applyFont="1" applyFill="1" applyBorder="1" applyAlignment="1">
      <alignment horizontal="center" vertical="center"/>
    </xf>
    <xf numFmtId="0" fontId="30" fillId="26" borderId="77" xfId="0" applyFont="1" applyFill="1" applyBorder="1" applyAlignment="1">
      <alignment horizontal="center"/>
    </xf>
    <xf numFmtId="44" fontId="30" fillId="26" borderId="78" xfId="0" applyNumberFormat="1" applyFont="1" applyFill="1" applyBorder="1"/>
    <xf numFmtId="9" fontId="30" fillId="26" borderId="79" xfId="0" applyNumberFormat="1" applyFont="1" applyFill="1" applyBorder="1" applyAlignment="1">
      <alignment horizontal="center"/>
    </xf>
    <xf numFmtId="0" fontId="35" fillId="22" borderId="74" xfId="0" applyFont="1" applyFill="1" applyBorder="1" applyAlignment="1">
      <alignment horizontal="center"/>
    </xf>
    <xf numFmtId="44" fontId="35" fillId="22" borderId="95" xfId="9" applyFont="1" applyFill="1" applyBorder="1" applyAlignment="1">
      <alignment horizontal="center" vertical="center" wrapText="1"/>
    </xf>
    <xf numFmtId="0" fontId="35" fillId="22" borderId="72" xfId="0" applyFont="1" applyFill="1" applyBorder="1" applyAlignment="1">
      <alignment horizontal="center"/>
    </xf>
    <xf numFmtId="44" fontId="35" fillId="22" borderId="73" xfId="0" applyNumberFormat="1" applyFont="1" applyFill="1" applyBorder="1" applyAlignment="1">
      <alignment horizontal="center"/>
    </xf>
    <xf numFmtId="0" fontId="35" fillId="22" borderId="77" xfId="0" applyFont="1" applyFill="1" applyBorder="1" applyAlignment="1">
      <alignment horizontal="center"/>
    </xf>
    <xf numFmtId="44" fontId="35" fillId="22" borderId="79" xfId="0" applyNumberFormat="1" applyFont="1" applyFill="1" applyBorder="1" applyAlignment="1">
      <alignment horizontal="center"/>
    </xf>
    <xf numFmtId="0" fontId="30" fillId="26" borderId="70" xfId="0" applyFont="1" applyFill="1" applyBorder="1" applyAlignment="1">
      <alignment horizontal="center"/>
    </xf>
    <xf numFmtId="164" fontId="6" fillId="0" borderId="74" xfId="2" applyNumberFormat="1" applyFont="1" applyBorder="1" applyAlignment="1" applyProtection="1">
      <alignment horizontal="left" vertical="center"/>
      <protection locked="0"/>
    </xf>
    <xf numFmtId="44" fontId="20" fillId="0" borderId="75" xfId="0" applyNumberFormat="1" applyFont="1" applyBorder="1"/>
    <xf numFmtId="164" fontId="6" fillId="0" borderId="72" xfId="2" applyNumberFormat="1" applyFont="1" applyBorder="1" applyAlignment="1" applyProtection="1">
      <alignment horizontal="left" vertical="center"/>
      <protection locked="0"/>
    </xf>
    <xf numFmtId="0" fontId="20" fillId="0" borderId="72" xfId="0" applyFont="1" applyBorder="1"/>
    <xf numFmtId="44" fontId="30" fillId="26" borderId="78" xfId="0" applyNumberFormat="1" applyFont="1" applyFill="1" applyBorder="1" applyAlignment="1">
      <alignment horizontal="center"/>
    </xf>
    <xf numFmtId="44" fontId="58" fillId="0" borderId="128" xfId="0" applyNumberFormat="1" applyFont="1" applyBorder="1" applyAlignment="1">
      <alignment horizontal="center" vertical="center"/>
    </xf>
    <xf numFmtId="0" fontId="58" fillId="0" borderId="129" xfId="0" applyFont="1" applyBorder="1" applyAlignment="1">
      <alignment horizontal="center" vertical="center"/>
    </xf>
    <xf numFmtId="0" fontId="30" fillId="26" borderId="15" xfId="0" applyFont="1" applyFill="1" applyBorder="1" applyAlignment="1">
      <alignment horizontal="center"/>
    </xf>
    <xf numFmtId="0" fontId="30" fillId="26" borderId="16" xfId="0" applyFont="1" applyFill="1" applyBorder="1" applyAlignment="1">
      <alignment horizontal="center"/>
    </xf>
    <xf numFmtId="0" fontId="30" fillId="26" borderId="128" xfId="0" applyFont="1" applyFill="1" applyBorder="1" applyAlignment="1">
      <alignment horizontal="center"/>
    </xf>
    <xf numFmtId="44" fontId="6" fillId="13" borderId="69" xfId="0" applyNumberFormat="1" applyFont="1" applyFill="1" applyBorder="1" applyAlignment="1">
      <alignment horizontal="center" vertical="center"/>
    </xf>
    <xf numFmtId="44" fontId="35" fillId="13" borderId="69" xfId="0" applyNumberFormat="1" applyFont="1" applyFill="1" applyBorder="1" applyAlignment="1">
      <alignment horizontal="center" vertical="center"/>
    </xf>
    <xf numFmtId="9" fontId="35" fillId="13" borderId="73" xfId="1" applyFont="1" applyFill="1" applyBorder="1" applyAlignment="1">
      <alignment horizontal="center" vertical="center"/>
    </xf>
    <xf numFmtId="166" fontId="65" fillId="13" borderId="69" xfId="4" applyNumberFormat="1" applyFont="1" applyFill="1" applyBorder="1" applyAlignment="1">
      <alignment horizontal="center" vertical="center" wrapText="1"/>
    </xf>
    <xf numFmtId="0" fontId="30" fillId="11" borderId="91" xfId="0" applyFont="1" applyFill="1" applyBorder="1" applyAlignment="1">
      <alignment horizontal="center" vertical="center"/>
    </xf>
    <xf numFmtId="0" fontId="30" fillId="11" borderId="84" xfId="0" applyFont="1" applyFill="1" applyBorder="1" applyAlignment="1">
      <alignment horizontal="center" vertical="center"/>
    </xf>
    <xf numFmtId="0" fontId="30" fillId="11" borderId="92" xfId="0" applyFont="1" applyFill="1" applyBorder="1" applyAlignment="1">
      <alignment horizontal="center" vertical="center"/>
    </xf>
    <xf numFmtId="0" fontId="30" fillId="11" borderId="91" xfId="0" applyFont="1" applyFill="1" applyBorder="1" applyAlignment="1">
      <alignment horizontal="center"/>
    </xf>
    <xf numFmtId="0" fontId="30" fillId="11" borderId="84" xfId="0" applyFont="1" applyFill="1" applyBorder="1" applyAlignment="1">
      <alignment horizontal="center"/>
    </xf>
    <xf numFmtId="0" fontId="30" fillId="11" borderId="92" xfId="0" applyFont="1" applyFill="1" applyBorder="1" applyAlignment="1">
      <alignment horizontal="center"/>
    </xf>
    <xf numFmtId="166" fontId="56" fillId="4" borderId="5" xfId="4" applyNumberFormat="1" applyFont="1" applyFill="1" applyBorder="1" applyAlignment="1">
      <alignment horizontal="center" vertical="center" wrapText="1"/>
    </xf>
    <xf numFmtId="166" fontId="56" fillId="4" borderId="41" xfId="4" applyNumberFormat="1" applyFont="1" applyFill="1" applyBorder="1" applyAlignment="1">
      <alignment horizontal="center" vertical="center" wrapText="1"/>
    </xf>
    <xf numFmtId="166" fontId="56" fillId="4" borderId="110" xfId="4" applyNumberFormat="1" applyFont="1" applyFill="1" applyBorder="1" applyAlignment="1">
      <alignment horizontal="center" vertical="center" wrapText="1"/>
    </xf>
    <xf numFmtId="166" fontId="56" fillId="4" borderId="19" xfId="4" applyNumberFormat="1" applyFont="1" applyFill="1" applyBorder="1" applyAlignment="1">
      <alignment horizontal="center" vertical="center" wrapText="1"/>
    </xf>
    <xf numFmtId="166" fontId="56" fillId="4" borderId="0" xfId="4" applyNumberFormat="1" applyFont="1" applyFill="1" applyBorder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0" fontId="6" fillId="0" borderId="0" xfId="2" applyFont="1" applyAlignment="1">
      <alignment horizontal="left" vertical="top"/>
    </xf>
    <xf numFmtId="0" fontId="56" fillId="2" borderId="3" xfId="3" applyFont="1" applyFill="1" applyBorder="1" applyAlignment="1">
      <alignment horizontal="center" vertical="center"/>
    </xf>
    <xf numFmtId="0" fontId="56" fillId="2" borderId="4" xfId="3" applyFont="1" applyFill="1" applyBorder="1" applyAlignment="1">
      <alignment horizontal="center" vertical="center"/>
    </xf>
    <xf numFmtId="0" fontId="56" fillId="2" borderId="110" xfId="3" applyFont="1" applyFill="1" applyBorder="1" applyAlignment="1">
      <alignment horizontal="center" vertical="center"/>
    </xf>
    <xf numFmtId="0" fontId="30" fillId="12" borderId="19" xfId="0" applyFont="1" applyFill="1" applyBorder="1" applyAlignment="1">
      <alignment horizontal="left" vertical="center"/>
    </xf>
    <xf numFmtId="0" fontId="30" fillId="12" borderId="0" xfId="0" applyFont="1" applyFill="1" applyAlignment="1">
      <alignment horizontal="left" vertical="center"/>
    </xf>
    <xf numFmtId="0" fontId="30" fillId="12" borderId="103" xfId="0" applyFont="1" applyFill="1" applyBorder="1" applyAlignment="1">
      <alignment horizontal="left" vertical="center"/>
    </xf>
    <xf numFmtId="0" fontId="30" fillId="12" borderId="90" xfId="0" applyFont="1" applyFill="1" applyBorder="1" applyAlignment="1">
      <alignment horizontal="left"/>
    </xf>
    <xf numFmtId="0" fontId="30" fillId="12" borderId="12" xfId="0" applyFont="1" applyFill="1" applyBorder="1" applyAlignment="1">
      <alignment horizontal="left"/>
    </xf>
    <xf numFmtId="0" fontId="30" fillId="12" borderId="34" xfId="0" applyFont="1" applyFill="1" applyBorder="1" applyAlignment="1">
      <alignment horizontal="left"/>
    </xf>
    <xf numFmtId="0" fontId="30" fillId="12" borderId="106" xfId="0" applyFont="1" applyFill="1" applyBorder="1" applyAlignment="1">
      <alignment horizontal="left"/>
    </xf>
    <xf numFmtId="0" fontId="56" fillId="3" borderId="5" xfId="0" applyFont="1" applyFill="1" applyBorder="1" applyAlignment="1">
      <alignment horizontal="center" vertical="center" wrapText="1"/>
    </xf>
    <xf numFmtId="0" fontId="56" fillId="3" borderId="41" xfId="0" applyFont="1" applyFill="1" applyBorder="1" applyAlignment="1">
      <alignment horizontal="center" vertical="center" wrapText="1"/>
    </xf>
    <xf numFmtId="0" fontId="56" fillId="3" borderId="110" xfId="0" applyFont="1" applyFill="1" applyBorder="1" applyAlignment="1">
      <alignment horizontal="center" vertical="center" wrapText="1"/>
    </xf>
    <xf numFmtId="0" fontId="30" fillId="12" borderId="77" xfId="0" applyFont="1" applyFill="1" applyBorder="1" applyAlignment="1">
      <alignment horizontal="left"/>
    </xf>
    <xf numFmtId="0" fontId="30" fillId="12" borderId="78" xfId="0" applyFont="1" applyFill="1" applyBorder="1" applyAlignment="1">
      <alignment horizontal="left"/>
    </xf>
    <xf numFmtId="1" fontId="30" fillId="12" borderId="72" xfId="0" applyNumberFormat="1" applyFont="1" applyFill="1" applyBorder="1" applyAlignment="1">
      <alignment horizontal="left"/>
    </xf>
    <xf numFmtId="1" fontId="30" fillId="12" borderId="69" xfId="0" applyNumberFormat="1" applyFont="1" applyFill="1" applyBorder="1" applyAlignment="1">
      <alignment horizontal="left"/>
    </xf>
    <xf numFmtId="0" fontId="30" fillId="11" borderId="93" xfId="0" applyFont="1" applyFill="1" applyBorder="1" applyAlignment="1">
      <alignment horizontal="center"/>
    </xf>
    <xf numFmtId="0" fontId="30" fillId="11" borderId="83" xfId="0" applyFont="1" applyFill="1" applyBorder="1" applyAlignment="1">
      <alignment horizontal="center"/>
    </xf>
    <xf numFmtId="0" fontId="30" fillId="11" borderId="94" xfId="0" applyFont="1" applyFill="1" applyBorder="1" applyAlignment="1">
      <alignment horizontal="center"/>
    </xf>
    <xf numFmtId="1" fontId="30" fillId="11" borderId="72" xfId="0" applyNumberFormat="1" applyFont="1" applyFill="1" applyBorder="1" applyAlignment="1">
      <alignment horizontal="center"/>
    </xf>
    <xf numFmtId="1" fontId="30" fillId="11" borderId="69" xfId="0" applyNumberFormat="1" applyFont="1" applyFill="1" applyBorder="1" applyAlignment="1">
      <alignment horizontal="center"/>
    </xf>
    <xf numFmtId="1" fontId="30" fillId="11" borderId="73" xfId="0" applyNumberFormat="1" applyFont="1" applyFill="1" applyBorder="1" applyAlignment="1">
      <alignment horizontal="center"/>
    </xf>
    <xf numFmtId="0" fontId="30" fillId="12" borderId="123" xfId="0" applyFont="1" applyFill="1" applyBorder="1" applyAlignment="1">
      <alignment horizontal="left"/>
    </xf>
    <xf numFmtId="0" fontId="30" fillId="12" borderId="69" xfId="0" applyFont="1" applyFill="1" applyBorder="1" applyAlignment="1">
      <alignment horizontal="left"/>
    </xf>
    <xf numFmtId="1" fontId="30" fillId="12" borderId="73" xfId="0" applyNumberFormat="1" applyFont="1" applyFill="1" applyBorder="1" applyAlignment="1">
      <alignment horizontal="left"/>
    </xf>
    <xf numFmtId="0" fontId="30" fillId="11" borderId="39" xfId="0" applyFont="1" applyFill="1" applyBorder="1" applyAlignment="1">
      <alignment horizontal="center"/>
    </xf>
    <xf numFmtId="0" fontId="30" fillId="11" borderId="38" xfId="0" applyFont="1" applyFill="1" applyBorder="1" applyAlignment="1">
      <alignment horizontal="center"/>
    </xf>
    <xf numFmtId="0" fontId="30" fillId="11" borderId="40" xfId="0" applyFont="1" applyFill="1" applyBorder="1" applyAlignment="1">
      <alignment horizontal="center"/>
    </xf>
    <xf numFmtId="0" fontId="30" fillId="11" borderId="72" xfId="0" applyFont="1" applyFill="1" applyBorder="1" applyAlignment="1">
      <alignment horizontal="center"/>
    </xf>
    <xf numFmtId="0" fontId="30" fillId="11" borderId="69" xfId="0" applyFont="1" applyFill="1" applyBorder="1" applyAlignment="1">
      <alignment horizontal="center"/>
    </xf>
    <xf numFmtId="0" fontId="30" fillId="11" borderId="73" xfId="0" applyFont="1" applyFill="1" applyBorder="1" applyAlignment="1">
      <alignment horizontal="center"/>
    </xf>
    <xf numFmtId="0" fontId="30" fillId="11" borderId="53" xfId="0" applyFont="1" applyFill="1" applyBorder="1" applyAlignment="1">
      <alignment horizontal="center"/>
    </xf>
    <xf numFmtId="0" fontId="30" fillId="11" borderId="70" xfId="0" applyFont="1" applyFill="1" applyBorder="1" applyAlignment="1">
      <alignment horizontal="center"/>
    </xf>
    <xf numFmtId="0" fontId="30" fillId="11" borderId="54" xfId="0" applyFont="1" applyFill="1" applyBorder="1" applyAlignment="1">
      <alignment horizontal="center"/>
    </xf>
    <xf numFmtId="0" fontId="30" fillId="12" borderId="74" xfId="0" applyFont="1" applyFill="1" applyBorder="1" applyAlignment="1">
      <alignment horizontal="left"/>
    </xf>
    <xf numFmtId="0" fontId="30" fillId="12" borderId="75" xfId="0" applyFont="1" applyFill="1" applyBorder="1" applyAlignment="1">
      <alignment horizontal="left"/>
    </xf>
    <xf numFmtId="0" fontId="30" fillId="12" borderId="72" xfId="0" applyFont="1" applyFill="1" applyBorder="1" applyAlignment="1">
      <alignment horizontal="left"/>
    </xf>
    <xf numFmtId="0" fontId="30" fillId="12" borderId="73" xfId="0" applyFont="1" applyFill="1" applyBorder="1" applyAlignment="1">
      <alignment horizontal="left"/>
    </xf>
    <xf numFmtId="166" fontId="44" fillId="13" borderId="69" xfId="4" applyNumberFormat="1" applyFont="1" applyFill="1" applyBorder="1" applyAlignment="1">
      <alignment horizontal="center" vertical="center" wrapText="1"/>
    </xf>
    <xf numFmtId="0" fontId="30" fillId="12" borderId="93" xfId="0" applyFont="1" applyFill="1" applyBorder="1" applyAlignment="1">
      <alignment horizontal="left" vertical="center"/>
    </xf>
    <xf numFmtId="0" fontId="30" fillId="12" borderId="83" xfId="0" applyFont="1" applyFill="1" applyBorder="1" applyAlignment="1">
      <alignment horizontal="left" vertical="center"/>
    </xf>
    <xf numFmtId="0" fontId="30" fillId="12" borderId="85" xfId="0" applyFont="1" applyFill="1" applyBorder="1" applyAlignment="1">
      <alignment horizontal="left"/>
    </xf>
    <xf numFmtId="0" fontId="30" fillId="12" borderId="71" xfId="0" applyFont="1" applyFill="1" applyBorder="1" applyAlignment="1">
      <alignment horizontal="left"/>
    </xf>
    <xf numFmtId="0" fontId="30" fillId="11" borderId="85" xfId="0" applyFont="1" applyFill="1" applyBorder="1" applyAlignment="1">
      <alignment horizontal="center"/>
    </xf>
    <xf numFmtId="0" fontId="30" fillId="11" borderId="71" xfId="0" applyFont="1" applyFill="1" applyBorder="1" applyAlignment="1">
      <alignment horizontal="center"/>
    </xf>
    <xf numFmtId="0" fontId="30" fillId="11" borderId="86" xfId="0" applyFont="1" applyFill="1" applyBorder="1" applyAlignment="1">
      <alignment horizontal="center"/>
    </xf>
    <xf numFmtId="0" fontId="31" fillId="12" borderId="53" xfId="0" applyFont="1" applyFill="1" applyBorder="1" applyAlignment="1">
      <alignment horizontal="left"/>
    </xf>
    <xf numFmtId="0" fontId="31" fillId="12" borderId="70" xfId="0" applyFont="1" applyFill="1" applyBorder="1" applyAlignment="1">
      <alignment horizontal="left"/>
    </xf>
    <xf numFmtId="0" fontId="31" fillId="12" borderId="85" xfId="0" applyFont="1" applyFill="1" applyBorder="1" applyAlignment="1">
      <alignment horizontal="left"/>
    </xf>
    <xf numFmtId="0" fontId="31" fillId="12" borderId="71" xfId="0" applyFont="1" applyFill="1" applyBorder="1" applyAlignment="1">
      <alignment horizontal="left"/>
    </xf>
    <xf numFmtId="0" fontId="31" fillId="11" borderId="72" xfId="0" applyFont="1" applyFill="1" applyBorder="1" applyAlignment="1">
      <alignment horizontal="center"/>
    </xf>
    <xf numFmtId="0" fontId="31" fillId="11" borderId="69" xfId="0" applyFont="1" applyFill="1" applyBorder="1" applyAlignment="1">
      <alignment horizontal="center"/>
    </xf>
    <xf numFmtId="0" fontId="31" fillId="11" borderId="73" xfId="0" applyFont="1" applyFill="1" applyBorder="1" applyAlignment="1">
      <alignment horizontal="center"/>
    </xf>
    <xf numFmtId="1" fontId="31" fillId="11" borderId="72" xfId="0" applyNumberFormat="1" applyFont="1" applyFill="1" applyBorder="1" applyAlignment="1">
      <alignment horizontal="center"/>
    </xf>
    <xf numFmtId="1" fontId="31" fillId="11" borderId="69" xfId="0" applyNumberFormat="1" applyFont="1" applyFill="1" applyBorder="1" applyAlignment="1">
      <alignment horizontal="center"/>
    </xf>
    <xf numFmtId="1" fontId="31" fillId="11" borderId="73" xfId="0" applyNumberFormat="1" applyFont="1" applyFill="1" applyBorder="1" applyAlignment="1">
      <alignment horizontal="center"/>
    </xf>
    <xf numFmtId="0" fontId="31" fillId="12" borderId="72" xfId="0" applyFont="1" applyFill="1" applyBorder="1" applyAlignment="1">
      <alignment horizontal="left"/>
    </xf>
    <xf numFmtId="0" fontId="31" fillId="12" borderId="69" xfId="0" applyFont="1" applyFill="1" applyBorder="1" applyAlignment="1">
      <alignment horizontal="left"/>
    </xf>
    <xf numFmtId="1" fontId="31" fillId="12" borderId="72" xfId="0" applyNumberFormat="1" applyFont="1" applyFill="1" applyBorder="1" applyAlignment="1">
      <alignment horizontal="left"/>
    </xf>
    <xf numFmtId="1" fontId="31" fillId="12" borderId="69" xfId="0" applyNumberFormat="1" applyFont="1" applyFill="1" applyBorder="1" applyAlignment="1">
      <alignment horizontal="left"/>
    </xf>
    <xf numFmtId="1" fontId="31" fillId="12" borderId="73" xfId="0" applyNumberFormat="1" applyFont="1" applyFill="1" applyBorder="1" applyAlignment="1">
      <alignment horizontal="left"/>
    </xf>
    <xf numFmtId="166" fontId="44" fillId="4" borderId="5" xfId="4" applyNumberFormat="1" applyFont="1" applyFill="1" applyBorder="1" applyAlignment="1">
      <alignment horizontal="center" vertical="center" wrapText="1"/>
    </xf>
    <xf numFmtId="166" fontId="44" fillId="4" borderId="41" xfId="4" applyNumberFormat="1" applyFont="1" applyFill="1" applyBorder="1" applyAlignment="1">
      <alignment horizontal="center" vertical="center" wrapText="1"/>
    </xf>
    <xf numFmtId="166" fontId="44" fillId="4" borderId="110" xfId="4" applyNumberFormat="1" applyFont="1" applyFill="1" applyBorder="1" applyAlignment="1">
      <alignment horizontal="center" vertical="center" wrapText="1"/>
    </xf>
    <xf numFmtId="166" fontId="44" fillId="4" borderId="19" xfId="4" applyNumberFormat="1" applyFont="1" applyFill="1" applyBorder="1" applyAlignment="1">
      <alignment horizontal="center" vertical="center" wrapText="1"/>
    </xf>
    <xf numFmtId="166" fontId="44" fillId="4" borderId="0" xfId="4" applyNumberFormat="1" applyFont="1" applyFill="1" applyBorder="1" applyAlignment="1">
      <alignment horizontal="center" vertical="center" wrapText="1"/>
    </xf>
    <xf numFmtId="0" fontId="36" fillId="0" borderId="0" xfId="2" applyFont="1" applyAlignment="1">
      <alignment horizontal="left" vertical="center" wrapText="1"/>
    </xf>
    <xf numFmtId="0" fontId="36" fillId="0" borderId="0" xfId="2" applyFont="1" applyAlignment="1">
      <alignment horizontal="left" vertical="top"/>
    </xf>
    <xf numFmtId="0" fontId="44" fillId="2" borderId="3" xfId="3" applyFont="1" applyFill="1" applyBorder="1" applyAlignment="1">
      <alignment horizontal="center" vertical="center"/>
    </xf>
    <xf numFmtId="0" fontId="44" fillId="2" borderId="4" xfId="3" applyFont="1" applyFill="1" applyBorder="1" applyAlignment="1">
      <alignment horizontal="center" vertical="center"/>
    </xf>
    <xf numFmtId="0" fontId="44" fillId="2" borderId="110" xfId="3" applyFont="1" applyFill="1" applyBorder="1" applyAlignment="1">
      <alignment horizontal="center" vertical="center"/>
    </xf>
    <xf numFmtId="0" fontId="44" fillId="3" borderId="5" xfId="0" applyFont="1" applyFill="1" applyBorder="1" applyAlignment="1">
      <alignment horizontal="center" vertical="center" wrapText="1"/>
    </xf>
    <xf numFmtId="0" fontId="44" fillId="3" borderId="41" xfId="0" applyFont="1" applyFill="1" applyBorder="1" applyAlignment="1">
      <alignment horizontal="center" vertical="center" wrapText="1"/>
    </xf>
    <xf numFmtId="0" fontId="44" fillId="3" borderId="110" xfId="0" applyFont="1" applyFill="1" applyBorder="1" applyAlignment="1">
      <alignment horizontal="center" vertical="center" wrapText="1"/>
    </xf>
    <xf numFmtId="0" fontId="30" fillId="11" borderId="53" xfId="0" applyFont="1" applyFill="1" applyBorder="1" applyAlignment="1">
      <alignment horizontal="center" vertical="center"/>
    </xf>
    <xf numFmtId="0" fontId="30" fillId="11" borderId="70" xfId="0" applyFont="1" applyFill="1" applyBorder="1" applyAlignment="1">
      <alignment horizontal="center" vertical="center"/>
    </xf>
    <xf numFmtId="0" fontId="30" fillId="11" borderId="54" xfId="0" applyFont="1" applyFill="1" applyBorder="1" applyAlignment="1">
      <alignment horizontal="center" vertical="center"/>
    </xf>
    <xf numFmtId="0" fontId="30" fillId="11" borderId="72" xfId="0" applyFont="1" applyFill="1" applyBorder="1" applyAlignment="1">
      <alignment horizontal="center" vertical="center"/>
    </xf>
    <xf numFmtId="0" fontId="30" fillId="11" borderId="69" xfId="0" applyFont="1" applyFill="1" applyBorder="1" applyAlignment="1">
      <alignment horizontal="center" vertical="center"/>
    </xf>
    <xf numFmtId="0" fontId="30" fillId="11" borderId="73" xfId="0" applyFont="1" applyFill="1" applyBorder="1" applyAlignment="1">
      <alignment horizontal="center" vertical="center"/>
    </xf>
    <xf numFmtId="0" fontId="30" fillId="12" borderId="72" xfId="0" applyFont="1" applyFill="1" applyBorder="1" applyAlignment="1">
      <alignment horizontal="left" vertical="center"/>
    </xf>
    <xf numFmtId="0" fontId="30" fillId="12" borderId="69" xfId="0" applyFont="1" applyFill="1" applyBorder="1" applyAlignment="1">
      <alignment horizontal="left" vertical="center"/>
    </xf>
    <xf numFmtId="0" fontId="30" fillId="12" borderId="73" xfId="0" applyFont="1" applyFill="1" applyBorder="1" applyAlignment="1">
      <alignment horizontal="left" vertical="center"/>
    </xf>
    <xf numFmtId="166" fontId="9" fillId="0" borderId="55" xfId="4" applyNumberFormat="1" applyFont="1" applyBorder="1" applyAlignment="1">
      <alignment horizontal="center" vertical="center" wrapText="1"/>
    </xf>
    <xf numFmtId="166" fontId="9" fillId="0" borderId="56" xfId="4" applyNumberFormat="1" applyFont="1" applyBorder="1" applyAlignment="1">
      <alignment horizontal="center" vertical="center" wrapText="1"/>
    </xf>
    <xf numFmtId="0" fontId="30" fillId="11" borderId="19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30" fillId="11" borderId="112" xfId="0" applyFont="1" applyFill="1" applyBorder="1" applyAlignment="1">
      <alignment horizontal="center" vertical="center"/>
    </xf>
    <xf numFmtId="0" fontId="30" fillId="11" borderId="19" xfId="0" applyFont="1" applyFill="1" applyBorder="1" applyAlignment="1">
      <alignment horizontal="center"/>
    </xf>
    <xf numFmtId="0" fontId="30" fillId="11" borderId="0" xfId="0" applyFont="1" applyFill="1" applyAlignment="1">
      <alignment horizontal="center"/>
    </xf>
    <xf numFmtId="0" fontId="30" fillId="11" borderId="112" xfId="0" applyFont="1" applyFill="1" applyBorder="1" applyAlignment="1">
      <alignment horizontal="center"/>
    </xf>
    <xf numFmtId="0" fontId="30" fillId="12" borderId="15" xfId="0" applyFont="1" applyFill="1" applyBorder="1" applyAlignment="1">
      <alignment horizontal="left"/>
    </xf>
    <xf numFmtId="0" fontId="30" fillId="12" borderId="16" xfId="0" applyFont="1" applyFill="1" applyBorder="1" applyAlignment="1">
      <alignment horizontal="left"/>
    </xf>
    <xf numFmtId="0" fontId="30" fillId="12" borderId="87" xfId="0" applyFont="1" applyFill="1" applyBorder="1" applyAlignment="1">
      <alignment horizontal="left"/>
    </xf>
    <xf numFmtId="0" fontId="30" fillId="12" borderId="107" xfId="0" applyFont="1" applyFill="1" applyBorder="1" applyAlignment="1">
      <alignment horizontal="left"/>
    </xf>
    <xf numFmtId="0" fontId="9" fillId="3" borderId="5" xfId="0" applyFont="1" applyFill="1" applyBorder="1" applyAlignment="1">
      <alignment horizontal="center" vertical="center" wrapText="1"/>
    </xf>
    <xf numFmtId="0" fontId="9" fillId="3" borderId="41" xfId="0" applyFont="1" applyFill="1" applyBorder="1" applyAlignment="1">
      <alignment horizontal="center" vertical="center" wrapText="1"/>
    </xf>
    <xf numFmtId="0" fontId="9" fillId="3" borderId="110" xfId="0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166" fontId="9" fillId="4" borderId="41" xfId="4" applyNumberFormat="1" applyFont="1" applyFill="1" applyBorder="1" applyAlignment="1">
      <alignment horizontal="center" vertical="center" wrapText="1"/>
    </xf>
    <xf numFmtId="166" fontId="9" fillId="4" borderId="110" xfId="4" applyNumberFormat="1" applyFont="1" applyFill="1" applyBorder="1" applyAlignment="1">
      <alignment horizontal="center" vertical="center" wrapText="1"/>
    </xf>
    <xf numFmtId="166" fontId="9" fillId="4" borderId="19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30" fillId="12" borderId="17" xfId="0" applyFont="1" applyFill="1" applyBorder="1" applyAlignment="1">
      <alignment horizontal="left"/>
    </xf>
    <xf numFmtId="0" fontId="30" fillId="12" borderId="18" xfId="0" applyFont="1" applyFill="1" applyBorder="1" applyAlignment="1">
      <alignment horizontal="left"/>
    </xf>
    <xf numFmtId="0" fontId="30" fillId="12" borderId="81" xfId="0" applyFont="1" applyFill="1" applyBorder="1" applyAlignment="1">
      <alignment horizontal="left"/>
    </xf>
    <xf numFmtId="0" fontId="30" fillId="12" borderId="82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110" xfId="3" applyFont="1" applyFill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/>
    </xf>
    <xf numFmtId="0" fontId="31" fillId="11" borderId="41" xfId="0" applyFont="1" applyFill="1" applyBorder="1" applyAlignment="1">
      <alignment horizontal="center" vertical="center"/>
    </xf>
    <xf numFmtId="0" fontId="31" fillId="11" borderId="110" xfId="0" applyFont="1" applyFill="1" applyBorder="1" applyAlignment="1">
      <alignment horizontal="center" vertical="center"/>
    </xf>
    <xf numFmtId="0" fontId="31" fillId="11" borderId="39" xfId="0" applyFont="1" applyFill="1" applyBorder="1" applyAlignment="1">
      <alignment horizontal="center" vertical="center"/>
    </xf>
    <xf numFmtId="0" fontId="31" fillId="11" borderId="38" xfId="0" applyFont="1" applyFill="1" applyBorder="1" applyAlignment="1">
      <alignment horizontal="center" vertical="center"/>
    </xf>
    <xf numFmtId="0" fontId="31" fillId="11" borderId="40" xfId="0" applyFont="1" applyFill="1" applyBorder="1" applyAlignment="1">
      <alignment horizontal="center" vertical="center"/>
    </xf>
    <xf numFmtId="0" fontId="31" fillId="12" borderId="39" xfId="0" applyFont="1" applyFill="1" applyBorder="1" applyAlignment="1">
      <alignment horizontal="left" vertical="center"/>
    </xf>
    <xf numFmtId="0" fontId="31" fillId="12" borderId="38" xfId="0" applyFont="1" applyFill="1" applyBorder="1" applyAlignment="1">
      <alignment horizontal="left" vertical="center"/>
    </xf>
    <xf numFmtId="0" fontId="31" fillId="12" borderId="40" xfId="0" applyFont="1" applyFill="1" applyBorder="1" applyAlignment="1">
      <alignment horizontal="left" vertical="center"/>
    </xf>
    <xf numFmtId="0" fontId="31" fillId="12" borderId="85" xfId="0" applyFont="1" applyFill="1" applyBorder="1" applyAlignment="1">
      <alignment horizontal="left" vertical="center"/>
    </xf>
    <xf numFmtId="0" fontId="31" fillId="12" borderId="71" xfId="0" applyFont="1" applyFill="1" applyBorder="1" applyAlignment="1">
      <alignment horizontal="left" vertical="center"/>
    </xf>
    <xf numFmtId="0" fontId="78" fillId="26" borderId="69" xfId="0" applyFont="1" applyFill="1" applyBorder="1" applyAlignment="1">
      <alignment horizontal="center"/>
    </xf>
    <xf numFmtId="0" fontId="33" fillId="19" borderId="74" xfId="0" applyFont="1" applyFill="1" applyBorder="1" applyAlignment="1">
      <alignment horizontal="center" vertical="center"/>
    </xf>
    <xf numFmtId="0" fontId="33" fillId="19" borderId="75" xfId="0" applyFont="1" applyFill="1" applyBorder="1" applyAlignment="1">
      <alignment horizontal="center" vertical="center"/>
    </xf>
    <xf numFmtId="0" fontId="33" fillId="19" borderId="95" xfId="0" applyFont="1" applyFill="1" applyBorder="1" applyAlignment="1">
      <alignment horizontal="center" vertical="center"/>
    </xf>
    <xf numFmtId="0" fontId="33" fillId="19" borderId="5" xfId="0" applyFont="1" applyFill="1" applyBorder="1" applyAlignment="1">
      <alignment horizontal="center" vertical="center"/>
    </xf>
    <xf numFmtId="0" fontId="33" fillId="19" borderId="41" xfId="0" applyFont="1" applyFill="1" applyBorder="1" applyAlignment="1">
      <alignment horizontal="center" vertical="center"/>
    </xf>
    <xf numFmtId="0" fontId="33" fillId="19" borderId="110" xfId="0" applyFont="1" applyFill="1" applyBorder="1" applyAlignment="1">
      <alignment horizontal="center" vertical="center"/>
    </xf>
    <xf numFmtId="0" fontId="19" fillId="8" borderId="43" xfId="0" applyFont="1" applyFill="1" applyBorder="1" applyAlignment="1">
      <alignment horizontal="center"/>
    </xf>
    <xf numFmtId="0" fontId="19" fillId="8" borderId="44" xfId="0" applyFont="1" applyFill="1" applyBorder="1" applyAlignment="1">
      <alignment horizontal="center"/>
    </xf>
    <xf numFmtId="0" fontId="19" fillId="8" borderId="45" xfId="0" applyFont="1" applyFill="1" applyBorder="1" applyAlignment="1">
      <alignment horizontal="center"/>
    </xf>
    <xf numFmtId="0" fontId="19" fillId="8" borderId="1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07" xfId="0" applyFont="1" applyFill="1" applyBorder="1" applyAlignment="1">
      <alignment horizontal="center"/>
    </xf>
    <xf numFmtId="0" fontId="23" fillId="9" borderId="57" xfId="0" applyFont="1" applyFill="1" applyBorder="1" applyAlignment="1">
      <alignment horizontal="left" vertical="center"/>
    </xf>
    <xf numFmtId="0" fontId="23" fillId="9" borderId="57" xfId="0" applyFont="1" applyFill="1" applyBorder="1" applyAlignment="1">
      <alignment vertical="center"/>
    </xf>
    <xf numFmtId="0" fontId="23" fillId="9" borderId="0" xfId="0" applyFont="1" applyFill="1" applyAlignment="1">
      <alignment vertical="center"/>
    </xf>
    <xf numFmtId="0" fontId="24" fillId="9" borderId="57" xfId="0" applyFont="1" applyFill="1" applyBorder="1" applyAlignment="1">
      <alignment horizontal="left" vertical="top"/>
    </xf>
    <xf numFmtId="0" fontId="26" fillId="9" borderId="57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44" fontId="0" fillId="0" borderId="25" xfId="9" applyFont="1" applyBorder="1" applyAlignment="1">
      <alignment horizontal="center"/>
    </xf>
    <xf numFmtId="44" fontId="0" fillId="0" borderId="26" xfId="9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44" fontId="0" fillId="0" borderId="28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2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3" xfId="0" applyBorder="1" applyAlignment="1">
      <alignment horizontal="left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07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58" fillId="13" borderId="0" xfId="0" applyFont="1" applyFill="1" applyAlignment="1">
      <alignment horizontal="center"/>
    </xf>
    <xf numFmtId="44" fontId="58" fillId="0" borderId="0" xfId="0" applyNumberFormat="1" applyFont="1" applyAlignment="1">
      <alignment horizontal="center"/>
    </xf>
  </cellXfs>
  <cellStyles count="27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3 2" xfId="16" xr:uid="{53D7C568-CC58-4B15-B9DD-1867C128147F}"/>
    <cellStyle name="Moeda 3 2 2" xfId="24" xr:uid="{A5309768-B99B-49A9-8220-C361E0CBEB87}"/>
    <cellStyle name="Moeda 3 3" xfId="20" xr:uid="{21F3CEAB-5AD0-4C0B-9F9A-224180F9ABCF}"/>
    <cellStyle name="Moeda 4" xfId="6" xr:uid="{87039FAF-445E-422B-A516-66BA7E305CF9}"/>
    <cellStyle name="Moeda 4 2" xfId="11" xr:uid="{636A40C2-255F-46EF-84CA-98953AE8866B}"/>
    <cellStyle name="Moeda 4 2 2" xfId="17" xr:uid="{7BDB4489-6168-4BE0-A964-5DE628ED1876}"/>
    <cellStyle name="Moeda 4 2 2 2" xfId="25" xr:uid="{2BE063E5-DF03-43A5-B997-41421D18B5CC}"/>
    <cellStyle name="Moeda 4 2 3" xfId="21" xr:uid="{B1DAA907-94D6-4B31-96E3-D05DA4E77213}"/>
    <cellStyle name="Moeda 5" xfId="12" xr:uid="{2124AE60-0557-4AC3-B48A-633CB17E3340}"/>
    <cellStyle name="Moeda 5 2" xfId="18" xr:uid="{0C993D40-EFA9-480A-9766-C4BE8F04E4F7}"/>
    <cellStyle name="Moeda 5 2 2" xfId="26" xr:uid="{BE7D7990-D2D7-44B2-9211-F23D18A35272}"/>
    <cellStyle name="Moeda 5 3" xfId="22" xr:uid="{E391F364-0CEE-4E47-974D-86637E4BA590}"/>
    <cellStyle name="Moeda 6" xfId="15" xr:uid="{574A822A-71B7-46B2-A0C3-1C5E8591DADA}"/>
    <cellStyle name="Moeda 6 2" xfId="23" xr:uid="{623F3763-20BA-4D12-8BD5-D3C4D78FA976}"/>
    <cellStyle name="Moeda 7" xfId="19" xr:uid="{7287BF2C-5CB2-4A2C-855E-93F9E4309C6D}"/>
    <cellStyle name="Normal" xfId="0" builtinId="0"/>
    <cellStyle name="Normal 2" xfId="2" xr:uid="{BD42359E-6099-413E-81D2-0E0BA4C03DB2}"/>
    <cellStyle name="Normal 3" xfId="7" xr:uid="{68151FFA-A329-4F7F-B412-27BE57253D9C}"/>
    <cellStyle name="Normal 3 2" xfId="14" xr:uid="{EDD1A25C-4E09-47DE-9478-AA6861AFB48F}"/>
    <cellStyle name="Normal 6" xfId="13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png"/><Relationship Id="rId18" Type="http://schemas.openxmlformats.org/officeDocument/2006/relationships/image" Target="../media/image29.png"/><Relationship Id="rId26" Type="http://schemas.openxmlformats.org/officeDocument/2006/relationships/image" Target="../media/image37.png"/><Relationship Id="rId39" Type="http://schemas.openxmlformats.org/officeDocument/2006/relationships/image" Target="../media/image50.png"/><Relationship Id="rId21" Type="http://schemas.openxmlformats.org/officeDocument/2006/relationships/image" Target="../media/image32.png"/><Relationship Id="rId34" Type="http://schemas.openxmlformats.org/officeDocument/2006/relationships/image" Target="../media/image45.png"/><Relationship Id="rId42" Type="http://schemas.openxmlformats.org/officeDocument/2006/relationships/image" Target="../media/image53.png"/><Relationship Id="rId47" Type="http://schemas.openxmlformats.org/officeDocument/2006/relationships/image" Target="../media/image58.png"/><Relationship Id="rId50" Type="http://schemas.openxmlformats.org/officeDocument/2006/relationships/image" Target="../media/image61.png"/><Relationship Id="rId55" Type="http://schemas.openxmlformats.org/officeDocument/2006/relationships/image" Target="../media/image66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6" Type="http://schemas.openxmlformats.org/officeDocument/2006/relationships/image" Target="../media/image27.png"/><Relationship Id="rId29" Type="http://schemas.openxmlformats.org/officeDocument/2006/relationships/image" Target="../media/image40.png"/><Relationship Id="rId11" Type="http://schemas.openxmlformats.org/officeDocument/2006/relationships/image" Target="../media/image22.png"/><Relationship Id="rId24" Type="http://schemas.openxmlformats.org/officeDocument/2006/relationships/image" Target="../media/image35.png"/><Relationship Id="rId32" Type="http://schemas.openxmlformats.org/officeDocument/2006/relationships/image" Target="../media/image43.png"/><Relationship Id="rId37" Type="http://schemas.openxmlformats.org/officeDocument/2006/relationships/image" Target="../media/image48.png"/><Relationship Id="rId40" Type="http://schemas.openxmlformats.org/officeDocument/2006/relationships/image" Target="../media/image51.png"/><Relationship Id="rId45" Type="http://schemas.openxmlformats.org/officeDocument/2006/relationships/image" Target="../media/image56.png"/><Relationship Id="rId53" Type="http://schemas.openxmlformats.org/officeDocument/2006/relationships/image" Target="../media/image64.png"/><Relationship Id="rId58" Type="http://schemas.openxmlformats.org/officeDocument/2006/relationships/image" Target="../media/image69.png"/><Relationship Id="rId5" Type="http://schemas.openxmlformats.org/officeDocument/2006/relationships/image" Target="../media/image16.png"/><Relationship Id="rId19" Type="http://schemas.openxmlformats.org/officeDocument/2006/relationships/image" Target="../media/image30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Relationship Id="rId22" Type="http://schemas.openxmlformats.org/officeDocument/2006/relationships/image" Target="../media/image33.png"/><Relationship Id="rId27" Type="http://schemas.openxmlformats.org/officeDocument/2006/relationships/image" Target="../media/image38.png"/><Relationship Id="rId30" Type="http://schemas.openxmlformats.org/officeDocument/2006/relationships/image" Target="../media/image41.png"/><Relationship Id="rId35" Type="http://schemas.openxmlformats.org/officeDocument/2006/relationships/image" Target="../media/image46.png"/><Relationship Id="rId43" Type="http://schemas.openxmlformats.org/officeDocument/2006/relationships/image" Target="../media/image54.png"/><Relationship Id="rId48" Type="http://schemas.openxmlformats.org/officeDocument/2006/relationships/image" Target="../media/image59.png"/><Relationship Id="rId56" Type="http://schemas.openxmlformats.org/officeDocument/2006/relationships/image" Target="../media/image67.png"/><Relationship Id="rId8" Type="http://schemas.openxmlformats.org/officeDocument/2006/relationships/image" Target="../media/image19.png"/><Relationship Id="rId51" Type="http://schemas.openxmlformats.org/officeDocument/2006/relationships/image" Target="../media/image62.png"/><Relationship Id="rId3" Type="http://schemas.openxmlformats.org/officeDocument/2006/relationships/image" Target="../media/image14.png"/><Relationship Id="rId12" Type="http://schemas.openxmlformats.org/officeDocument/2006/relationships/image" Target="../media/image23.png"/><Relationship Id="rId17" Type="http://schemas.openxmlformats.org/officeDocument/2006/relationships/image" Target="../media/image28.png"/><Relationship Id="rId25" Type="http://schemas.openxmlformats.org/officeDocument/2006/relationships/image" Target="../media/image36.png"/><Relationship Id="rId33" Type="http://schemas.openxmlformats.org/officeDocument/2006/relationships/image" Target="../media/image44.png"/><Relationship Id="rId38" Type="http://schemas.openxmlformats.org/officeDocument/2006/relationships/image" Target="../media/image49.png"/><Relationship Id="rId46" Type="http://schemas.openxmlformats.org/officeDocument/2006/relationships/image" Target="../media/image57.png"/><Relationship Id="rId59" Type="http://schemas.openxmlformats.org/officeDocument/2006/relationships/image" Target="../media/image70.png"/><Relationship Id="rId20" Type="http://schemas.openxmlformats.org/officeDocument/2006/relationships/image" Target="../media/image31.png"/><Relationship Id="rId41" Type="http://schemas.openxmlformats.org/officeDocument/2006/relationships/image" Target="../media/image52.png"/><Relationship Id="rId54" Type="http://schemas.openxmlformats.org/officeDocument/2006/relationships/image" Target="../media/image65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5" Type="http://schemas.openxmlformats.org/officeDocument/2006/relationships/image" Target="../media/image26.png"/><Relationship Id="rId23" Type="http://schemas.openxmlformats.org/officeDocument/2006/relationships/image" Target="../media/image34.pn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49" Type="http://schemas.openxmlformats.org/officeDocument/2006/relationships/image" Target="../media/image60.png"/><Relationship Id="rId57" Type="http://schemas.openxmlformats.org/officeDocument/2006/relationships/image" Target="../media/image68.png"/><Relationship Id="rId10" Type="http://schemas.openxmlformats.org/officeDocument/2006/relationships/image" Target="../media/image21.png"/><Relationship Id="rId31" Type="http://schemas.openxmlformats.org/officeDocument/2006/relationships/image" Target="../media/image42.png"/><Relationship Id="rId44" Type="http://schemas.openxmlformats.org/officeDocument/2006/relationships/image" Target="../media/image55.png"/><Relationship Id="rId52" Type="http://schemas.openxmlformats.org/officeDocument/2006/relationships/image" Target="../media/image6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670560</xdr:colOff>
          <xdr:row>0</xdr:row>
          <xdr:rowOff>152400</xdr:rowOff>
        </xdr:from>
        <xdr:to>
          <xdr:col>5</xdr:col>
          <xdr:colOff>800100</xdr:colOff>
          <xdr:row>1</xdr:row>
          <xdr:rowOff>60960</xdr:rowOff>
        </xdr:to>
        <xdr:sp macro="" textlink="">
          <xdr:nvSpPr>
            <xdr:cNvPr id="120833" name="Label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1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50031" y="130971"/>
    <xdr:ext cx="372523" cy="375442"/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D6EF5E1A-8449-4878-AE83-ADDAA0000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533400</xdr:colOff>
          <xdr:row>0</xdr:row>
          <xdr:rowOff>228600</xdr:rowOff>
        </xdr:from>
        <xdr:to>
          <xdr:col>45</xdr:col>
          <xdr:colOff>289560</xdr:colOff>
          <xdr:row>1</xdr:row>
          <xdr:rowOff>137160</xdr:rowOff>
        </xdr:to>
        <xdr:sp macro="" textlink="">
          <xdr:nvSpPr>
            <xdr:cNvPr id="120834" name="Label2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1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42581E3C-1931-4EA7-8601-D99C0F30B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10</xdr:col>
      <xdr:colOff>453570</xdr:colOff>
      <xdr:row>4</xdr:row>
      <xdr:rowOff>240934</xdr:rowOff>
    </xdr:from>
    <xdr:ext cx="2168175" cy="1557079"/>
    <xdr:pic>
      <xdr:nvPicPr>
        <xdr:cNvPr id="4" name="Imagem 3">
          <a:extLst>
            <a:ext uri="{FF2B5EF4-FFF2-40B4-BE49-F238E27FC236}">
              <a16:creationId xmlns:a16="http://schemas.microsoft.com/office/drawing/2014/main" id="{90197DAC-303F-4EFE-9857-D7BF586B4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95213" y="1665148"/>
          <a:ext cx="2168175" cy="155707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658358</xdr:colOff>
      <xdr:row>0</xdr:row>
      <xdr:rowOff>152400</xdr:rowOff>
    </xdr:from>
    <xdr:to>
      <xdr:col>5</xdr:col>
      <xdr:colOff>590096</xdr:colOff>
      <xdr:row>0</xdr:row>
      <xdr:rowOff>683079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163841"/>
            </a:ext>
            <a:ext uri="{FF2B5EF4-FFF2-40B4-BE49-F238E27FC236}">
              <a16:creationId xmlns:a16="http://schemas.microsoft.com/office/drawing/2014/main" id="{A1EBC0CB-8754-480F-9C73-43385CC762F8}"/>
            </a:ext>
          </a:extLst>
        </xdr:cNvPr>
        <xdr:cNvSpPr/>
      </xdr:nvSpPr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50031" y="130971"/>
    <xdr:ext cx="372523" cy="3754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15B252-4ACD-493E-B1CB-39951119C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xdr:twoCellAnchor editAs="absolute">
    <xdr:from>
      <xdr:col>39</xdr:col>
      <xdr:colOff>7693</xdr:colOff>
      <xdr:row>0</xdr:row>
      <xdr:rowOff>219075</xdr:rowOff>
    </xdr:from>
    <xdr:to>
      <xdr:col>40</xdr:col>
      <xdr:colOff>507340</xdr:colOff>
      <xdr:row>0</xdr:row>
      <xdr:rowOff>749754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163842"/>
            </a:ext>
            <a:ext uri="{FF2B5EF4-FFF2-40B4-BE49-F238E27FC236}">
              <a16:creationId xmlns:a16="http://schemas.microsoft.com/office/drawing/2014/main" id="{8BD3E456-019C-43D0-A546-1F1FF8B73D69}"/>
            </a:ext>
          </a:extLst>
        </xdr:cNvPr>
        <xdr:cNvSpPr/>
      </xdr:nvSpPr>
      <xdr:spPr bwMode="auto">
        <a:xfrm>
          <a:off x="28305579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86545E1-1765-4324-848A-EF2D3C1A4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10</xdr:col>
      <xdr:colOff>725714</xdr:colOff>
      <xdr:row>4</xdr:row>
      <xdr:rowOff>228815</xdr:rowOff>
    </xdr:from>
    <xdr:ext cx="2286104" cy="1641770"/>
    <xdr:pic>
      <xdr:nvPicPr>
        <xdr:cNvPr id="6" name="Imagem 5">
          <a:extLst>
            <a:ext uri="{FF2B5EF4-FFF2-40B4-BE49-F238E27FC236}">
              <a16:creationId xmlns:a16="http://schemas.microsoft.com/office/drawing/2014/main" id="{3A22CC61-169A-4542-8D29-86CB12DE9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92857" y="3612458"/>
          <a:ext cx="2286104" cy="1641770"/>
        </a:xfrm>
        <a:prstGeom prst="rect">
          <a:avLst/>
        </a:prstGeom>
      </xdr:spPr>
    </xdr:pic>
    <xdr:clientData/>
  </xdr:oneCellAnchor>
  <xdr:twoCellAnchor editAs="absolute">
    <xdr:from>
      <xdr:col>1</xdr:col>
      <xdr:colOff>658358</xdr:colOff>
      <xdr:row>0</xdr:row>
      <xdr:rowOff>152400</xdr:rowOff>
    </xdr:from>
    <xdr:to>
      <xdr:col>5</xdr:col>
      <xdr:colOff>590096</xdr:colOff>
      <xdr:row>0</xdr:row>
      <xdr:rowOff>683079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C6B0BEC2-6579-49EC-B03F-B94C9616C8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39</xdr:col>
      <xdr:colOff>7693</xdr:colOff>
      <xdr:row>0</xdr:row>
      <xdr:rowOff>219075</xdr:rowOff>
    </xdr:from>
    <xdr:to>
      <xdr:col>40</xdr:col>
      <xdr:colOff>507340</xdr:colOff>
      <xdr:row>0</xdr:row>
      <xdr:rowOff>749754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4EB296CF-F1DC-4A03-8D9C-573FF97631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5579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181428</xdr:colOff>
      <xdr:row>0</xdr:row>
      <xdr:rowOff>152400</xdr:rowOff>
    </xdr:from>
    <xdr:to>
      <xdr:col>5</xdr:col>
      <xdr:colOff>1127579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163841"/>
            </a:ext>
            <a:ext uri="{FF2B5EF4-FFF2-40B4-BE49-F238E27FC236}">
              <a16:creationId xmlns:a16="http://schemas.microsoft.com/office/drawing/2014/main" id="{67001F32-1854-4809-8BB6-A1DD0A4FD6C5}"/>
            </a:ext>
          </a:extLst>
        </xdr:cNvPr>
        <xdr:cNvSpPr/>
      </xdr:nvSpPr>
      <xdr:spPr bwMode="auto">
        <a:xfrm>
          <a:off x="69215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50031" y="130971"/>
    <xdr:ext cx="372523" cy="3754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C5BDB04-DB1F-4211-A9A0-A9B0D222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xdr:twoCellAnchor editAs="absolute">
    <xdr:from>
      <xdr:col>40</xdr:col>
      <xdr:colOff>1003300</xdr:colOff>
      <xdr:row>0</xdr:row>
      <xdr:rowOff>215900</xdr:rowOff>
    </xdr:from>
    <xdr:to>
      <xdr:col>41</xdr:col>
      <xdr:colOff>570593</xdr:colOff>
      <xdr:row>1</xdr:row>
      <xdr:rowOff>120650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163842"/>
            </a:ext>
            <a:ext uri="{FF2B5EF4-FFF2-40B4-BE49-F238E27FC236}">
              <a16:creationId xmlns:a16="http://schemas.microsoft.com/office/drawing/2014/main" id="{BCDA3F1F-6EA6-487B-96FE-57143615F5F7}"/>
            </a:ext>
          </a:extLst>
        </xdr:cNvPr>
        <xdr:cNvSpPr/>
      </xdr:nvSpPr>
      <xdr:spPr bwMode="auto">
        <a:xfrm>
          <a:off x="29603700" y="215900"/>
          <a:ext cx="10681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F9D92565-8475-406A-B8AE-49ABEDAB8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10</xdr:col>
      <xdr:colOff>526144</xdr:colOff>
      <xdr:row>5</xdr:row>
      <xdr:rowOff>22053</xdr:rowOff>
    </xdr:from>
    <xdr:ext cx="2032104" cy="1459360"/>
    <xdr:pic>
      <xdr:nvPicPr>
        <xdr:cNvPr id="6" name="Imagem 5">
          <a:extLst>
            <a:ext uri="{FF2B5EF4-FFF2-40B4-BE49-F238E27FC236}">
              <a16:creationId xmlns:a16="http://schemas.microsoft.com/office/drawing/2014/main" id="{31AD9BF7-5584-436E-945E-62D7BD289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11858" y="1754696"/>
          <a:ext cx="2032104" cy="1459360"/>
        </a:xfrm>
        <a:prstGeom prst="rect">
          <a:avLst/>
        </a:prstGeom>
      </xdr:spPr>
    </xdr:pic>
    <xdr:clientData/>
  </xdr:oneCellAnchor>
  <xdr:twoCellAnchor editAs="absolute">
    <xdr:from>
      <xdr:col>5</xdr:col>
      <xdr:colOff>181428</xdr:colOff>
      <xdr:row>0</xdr:row>
      <xdr:rowOff>152400</xdr:rowOff>
    </xdr:from>
    <xdr:to>
      <xdr:col>5</xdr:col>
      <xdr:colOff>1127579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58E7BD9D-362C-4B6E-89A7-59E2920FEC5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5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40</xdr:col>
      <xdr:colOff>1003300</xdr:colOff>
      <xdr:row>0</xdr:row>
      <xdr:rowOff>215900</xdr:rowOff>
    </xdr:from>
    <xdr:to>
      <xdr:col>41</xdr:col>
      <xdr:colOff>570593</xdr:colOff>
      <xdr:row>1</xdr:row>
      <xdr:rowOff>120650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A903ACA5-EB21-4DDE-B3DD-F7C49867E13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03700" y="215900"/>
          <a:ext cx="10681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152400</xdr:rowOff>
    </xdr:from>
    <xdr:to>
      <xdr:col>5</xdr:col>
      <xdr:colOff>946150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163841"/>
            </a:ext>
            <a:ext uri="{FF2B5EF4-FFF2-40B4-BE49-F238E27FC236}">
              <a16:creationId xmlns:a16="http://schemas.microsoft.com/office/drawing/2014/main" id="{7226ABF8-E44A-4000-ACFF-521AC5BEC69C}"/>
            </a:ext>
          </a:extLst>
        </xdr:cNvPr>
        <xdr:cNvSpPr/>
      </xdr:nvSpPr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50031" y="130971"/>
    <xdr:ext cx="372523" cy="3754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E5D39C-E700-469C-B389-61C0C6F6A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xdr:twoCellAnchor editAs="absolute">
    <xdr:from>
      <xdr:col>45</xdr:col>
      <xdr:colOff>583748</xdr:colOff>
      <xdr:row>0</xdr:row>
      <xdr:rowOff>215900</xdr:rowOff>
    </xdr:from>
    <xdr:to>
      <xdr:col>47</xdr:col>
      <xdr:colOff>444501</xdr:colOff>
      <xdr:row>1</xdr:row>
      <xdr:rowOff>120650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163842"/>
            </a:ext>
            <a:ext uri="{FF2B5EF4-FFF2-40B4-BE49-F238E27FC236}">
              <a16:creationId xmlns:a16="http://schemas.microsoft.com/office/drawing/2014/main" id="{5D5B7FBD-43C2-4CC7-96B4-1E4927FB7574}"/>
            </a:ext>
          </a:extLst>
        </xdr:cNvPr>
        <xdr:cNvSpPr/>
      </xdr:nvSpPr>
      <xdr:spPr bwMode="auto">
        <a:xfrm>
          <a:off x="28305579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C532FCE-B171-4330-801D-167A67AA4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11</xdr:col>
      <xdr:colOff>269117</xdr:colOff>
      <xdr:row>4</xdr:row>
      <xdr:rowOff>9071</xdr:rowOff>
    </xdr:from>
    <xdr:ext cx="1581558" cy="1135799"/>
    <xdr:pic>
      <xdr:nvPicPr>
        <xdr:cNvPr id="6" name="Imagem 5">
          <a:extLst>
            <a:ext uri="{FF2B5EF4-FFF2-40B4-BE49-F238E27FC236}">
              <a16:creationId xmlns:a16="http://schemas.microsoft.com/office/drawing/2014/main" id="{4E6CA66F-BBB5-4183-BA53-B2ACF9C6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25260" y="3664857"/>
          <a:ext cx="1581558" cy="1135799"/>
        </a:xfrm>
        <a:prstGeom prst="rect">
          <a:avLst/>
        </a:prstGeom>
      </xdr:spPr>
    </xdr:pic>
    <xdr:clientData/>
  </xdr:oneCellAnchor>
  <xdr:twoCellAnchor editAs="absolute">
    <xdr:from>
      <xdr:col>2</xdr:col>
      <xdr:colOff>0</xdr:colOff>
      <xdr:row>0</xdr:row>
      <xdr:rowOff>152400</xdr:rowOff>
    </xdr:from>
    <xdr:to>
      <xdr:col>5</xdr:col>
      <xdr:colOff>946150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96546BF1-9F86-4FEA-A51D-4F81954E280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583748</xdr:colOff>
      <xdr:row>0</xdr:row>
      <xdr:rowOff>215900</xdr:rowOff>
    </xdr:from>
    <xdr:to>
      <xdr:col>47</xdr:col>
      <xdr:colOff>444501</xdr:colOff>
      <xdr:row>1</xdr:row>
      <xdr:rowOff>120650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CB7489A5-66B0-4B7B-BB35-D6AD432FE0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5579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</xdr:colOff>
          <xdr:row>0</xdr:row>
          <xdr:rowOff>144780</xdr:rowOff>
        </xdr:from>
        <xdr:to>
          <xdr:col>2</xdr:col>
          <xdr:colOff>640080</xdr:colOff>
          <xdr:row>1</xdr:row>
          <xdr:rowOff>60960</xdr:rowOff>
        </xdr:to>
        <xdr:sp macro="" textlink="">
          <xdr:nvSpPr>
            <xdr:cNvPr id="30721" name="Label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50031" y="130971"/>
    <xdr:ext cx="372523" cy="375442"/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8D9F78BD-267F-42F6-B2F3-422B94267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434340</xdr:colOff>
          <xdr:row>0</xdr:row>
          <xdr:rowOff>213360</xdr:rowOff>
        </xdr:from>
        <xdr:to>
          <xdr:col>22</xdr:col>
          <xdr:colOff>1409700</xdr:colOff>
          <xdr:row>1</xdr:row>
          <xdr:rowOff>114300</xdr:rowOff>
        </xdr:to>
        <xdr:sp macro="" textlink="">
          <xdr:nvSpPr>
            <xdr:cNvPr id="30722" name="Label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C7C5F40-F6A8-46FE-B319-F2EA0AD1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12</xdr:col>
      <xdr:colOff>607629</xdr:colOff>
      <xdr:row>4</xdr:row>
      <xdr:rowOff>49267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9DC1DDE1-FDF5-451D-92A9-994CC8670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17729" y="1471667"/>
          <a:ext cx="2776118" cy="19936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</xdr:colOff>
          <xdr:row>0</xdr:row>
          <xdr:rowOff>144780</xdr:rowOff>
        </xdr:from>
        <xdr:to>
          <xdr:col>2</xdr:col>
          <xdr:colOff>640080</xdr:colOff>
          <xdr:row>1</xdr:row>
          <xdr:rowOff>60960</xdr:rowOff>
        </xdr:to>
        <xdr:sp macro="" textlink="">
          <xdr:nvSpPr>
            <xdr:cNvPr id="31745" name="Label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50031" y="130971"/>
    <xdr:ext cx="372523" cy="375442"/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8D87375F-0515-4CD1-8332-8784CBACE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1234440</xdr:colOff>
          <xdr:row>0</xdr:row>
          <xdr:rowOff>213360</xdr:rowOff>
        </xdr:from>
        <xdr:to>
          <xdr:col>22</xdr:col>
          <xdr:colOff>236220</xdr:colOff>
          <xdr:row>1</xdr:row>
          <xdr:rowOff>114300</xdr:rowOff>
        </xdr:to>
        <xdr:sp macro="" textlink="">
          <xdr:nvSpPr>
            <xdr:cNvPr id="31746" name="Label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6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546B4CB-E0AF-4568-A825-756D326BC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12</xdr:col>
      <xdr:colOff>607629</xdr:colOff>
      <xdr:row>4</xdr:row>
      <xdr:rowOff>49267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D5C02D75-8CF7-44D6-8B3A-59BA561D7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17729" y="1471667"/>
          <a:ext cx="2776118" cy="199367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</xdr:colOff>
          <xdr:row>0</xdr:row>
          <xdr:rowOff>144780</xdr:rowOff>
        </xdr:from>
        <xdr:to>
          <xdr:col>2</xdr:col>
          <xdr:colOff>640080</xdr:colOff>
          <xdr:row>1</xdr:row>
          <xdr:rowOff>60960</xdr:rowOff>
        </xdr:to>
        <xdr:sp macro="" textlink="">
          <xdr:nvSpPr>
            <xdr:cNvPr id="32769" name="Label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50031" y="130971"/>
    <xdr:ext cx="372523" cy="375442"/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D343477A-2552-449F-813D-5E29D70A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1234440</xdr:colOff>
          <xdr:row>0</xdr:row>
          <xdr:rowOff>213360</xdr:rowOff>
        </xdr:from>
        <xdr:to>
          <xdr:col>22</xdr:col>
          <xdr:colOff>236220</xdr:colOff>
          <xdr:row>1</xdr:row>
          <xdr:rowOff>114300</xdr:rowOff>
        </xdr:to>
        <xdr:sp macro="" textlink="">
          <xdr:nvSpPr>
            <xdr:cNvPr id="32770" name="Label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7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7A199C0-9C5F-47D3-926A-034CF4864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12</xdr:col>
      <xdr:colOff>607629</xdr:colOff>
      <xdr:row>4</xdr:row>
      <xdr:rowOff>49267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CB78F2A6-3487-4CC1-AAC6-9F07B1F7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17729" y="1471667"/>
          <a:ext cx="2776118" cy="199367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</xdr:colOff>
          <xdr:row>0</xdr:row>
          <xdr:rowOff>144780</xdr:rowOff>
        </xdr:from>
        <xdr:to>
          <xdr:col>2</xdr:col>
          <xdr:colOff>640080</xdr:colOff>
          <xdr:row>1</xdr:row>
          <xdr:rowOff>60960</xdr:rowOff>
        </xdr:to>
        <xdr:sp macro="" textlink="">
          <xdr:nvSpPr>
            <xdr:cNvPr id="29697" name="Label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50031" y="130971"/>
    <xdr:ext cx="372523" cy="375442"/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367AEBAA-18BB-4871-A6E6-D431A8325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1234440</xdr:colOff>
          <xdr:row>0</xdr:row>
          <xdr:rowOff>213360</xdr:rowOff>
        </xdr:from>
        <xdr:to>
          <xdr:col>22</xdr:col>
          <xdr:colOff>236220</xdr:colOff>
          <xdr:row>1</xdr:row>
          <xdr:rowOff>114300</xdr:rowOff>
        </xdr:to>
        <xdr:sp macro="" textlink="">
          <xdr:nvSpPr>
            <xdr:cNvPr id="29698" name="Label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2A4D6C3-F312-406A-9BC7-91B03800D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12</xdr:col>
      <xdr:colOff>607629</xdr:colOff>
      <xdr:row>4</xdr:row>
      <xdr:rowOff>49267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6A8C2774-76D7-455F-9B4D-E7CED4C2A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17729" y="1471667"/>
          <a:ext cx="2776118" cy="1993675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101147</xdr:colOff>
      <xdr:row>0</xdr:row>
      <xdr:rowOff>152400</xdr:rowOff>
    </xdr:from>
    <xdr:to>
      <xdr:col>5</xdr:col>
      <xdr:colOff>1040040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163841"/>
            </a:ext>
            <a:ext uri="{FF2B5EF4-FFF2-40B4-BE49-F238E27FC236}">
              <a16:creationId xmlns:a16="http://schemas.microsoft.com/office/drawing/2014/main" id="{0774AA10-A95C-470F-B581-03137BCF9AE0}"/>
            </a:ext>
          </a:extLst>
        </xdr:cNvPr>
        <xdr:cNvSpPr/>
      </xdr:nvSpPr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50031" y="130971"/>
    <xdr:ext cx="372523" cy="3754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D3A6683-5768-475B-A78F-027ADE5D3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523" cy="375442"/>
        </a:xfrm>
        <a:prstGeom prst="rect">
          <a:avLst/>
        </a:prstGeom>
      </xdr:spPr>
    </xdr:pic>
    <xdr:clientData/>
  </xdr:absoluteAnchor>
  <xdr:twoCellAnchor editAs="absolute">
    <xdr:from>
      <xdr:col>42</xdr:col>
      <xdr:colOff>483961</xdr:colOff>
      <xdr:row>0</xdr:row>
      <xdr:rowOff>219075</xdr:rowOff>
    </xdr:from>
    <xdr:to>
      <xdr:col>44</xdr:col>
      <xdr:colOff>341540</xdr:colOff>
      <xdr:row>1</xdr:row>
      <xdr:rowOff>123825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163842"/>
            </a:ext>
            <a:ext uri="{FF2B5EF4-FFF2-40B4-BE49-F238E27FC236}">
              <a16:creationId xmlns:a16="http://schemas.microsoft.com/office/drawing/2014/main" id="{9813DA3A-4573-44E1-A9E5-A47AA96FB11C}"/>
            </a:ext>
          </a:extLst>
        </xdr:cNvPr>
        <xdr:cNvSpPr/>
      </xdr:nvSpPr>
      <xdr:spPr bwMode="auto">
        <a:xfrm>
          <a:off x="28306940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69DE3F9C-6EE8-4C10-9188-A80457C0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11</xdr:col>
      <xdr:colOff>281215</xdr:colOff>
      <xdr:row>3</xdr:row>
      <xdr:rowOff>42588</xdr:rowOff>
    </xdr:from>
    <xdr:ext cx="1850676" cy="1329067"/>
    <xdr:pic>
      <xdr:nvPicPr>
        <xdr:cNvPr id="6" name="Imagem 5">
          <a:extLst>
            <a:ext uri="{FF2B5EF4-FFF2-40B4-BE49-F238E27FC236}">
              <a16:creationId xmlns:a16="http://schemas.microsoft.com/office/drawing/2014/main" id="{83F1FF0A-A04F-4CB3-A38A-882BC21E4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47072" y="1249088"/>
          <a:ext cx="1850676" cy="1329067"/>
        </a:xfrm>
        <a:prstGeom prst="rect">
          <a:avLst/>
        </a:prstGeom>
      </xdr:spPr>
    </xdr:pic>
    <xdr:clientData/>
  </xdr:oneCellAnchor>
  <xdr:twoCellAnchor editAs="absolute">
    <xdr:from>
      <xdr:col>5</xdr:col>
      <xdr:colOff>101147</xdr:colOff>
      <xdr:row>0</xdr:row>
      <xdr:rowOff>152400</xdr:rowOff>
    </xdr:from>
    <xdr:to>
      <xdr:col>5</xdr:col>
      <xdr:colOff>1040040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D9B550A0-44EC-4D7F-8A62-6FD0EE8519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52400"/>
          <a:ext cx="9144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42</xdr:col>
      <xdr:colOff>483961</xdr:colOff>
      <xdr:row>0</xdr:row>
      <xdr:rowOff>219075</xdr:rowOff>
    </xdr:from>
    <xdr:to>
      <xdr:col>44</xdr:col>
      <xdr:colOff>341540</xdr:colOff>
      <xdr:row>1</xdr:row>
      <xdr:rowOff>123825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A56BBAD8-194A-43D8-B09C-96EA384F3B2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6940" y="219075"/>
          <a:ext cx="97699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365760</xdr:colOff>
          <xdr:row>0</xdr:row>
          <xdr:rowOff>220980</xdr:rowOff>
        </xdr:from>
        <xdr:to>
          <xdr:col>40</xdr:col>
          <xdr:colOff>114300</xdr:colOff>
          <xdr:row>2</xdr:row>
          <xdr:rowOff>129540</xdr:rowOff>
        </xdr:to>
        <xdr:sp macro="" textlink="">
          <xdr:nvSpPr>
            <xdr:cNvPr id="38914" name="Label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B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29290847" y="182566"/>
    <xdr:ext cx="362742" cy="362742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7A87223-E7D1-4697-A7C6-B77BE25E6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2</xdr:col>
      <xdr:colOff>194087</xdr:colOff>
      <xdr:row>4</xdr:row>
      <xdr:rowOff>120705</xdr:rowOff>
    </xdr:from>
    <xdr:ext cx="1949038" cy="1399706"/>
    <xdr:pic>
      <xdr:nvPicPr>
        <xdr:cNvPr id="4" name="Imagem 3">
          <a:extLst>
            <a:ext uri="{FF2B5EF4-FFF2-40B4-BE49-F238E27FC236}">
              <a16:creationId xmlns:a16="http://schemas.microsoft.com/office/drawing/2014/main" id="{698EC2CB-7345-4E90-83F8-AAE859820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4212" y="1537549"/>
          <a:ext cx="1949038" cy="1399706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6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6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6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6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0.xml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AFDA-E4F8-4D4D-A262-A5DD1E856711}">
  <dimension ref="A1:I55"/>
  <sheetViews>
    <sheetView showGridLines="0" tabSelected="1" topLeftCell="A20" zoomScale="87" zoomScaleNormal="87" workbookViewId="0">
      <selection activeCell="G48" sqref="G48"/>
    </sheetView>
  </sheetViews>
  <sheetFormatPr defaultColWidth="8.77734375" defaultRowHeight="18" x14ac:dyDescent="0.35"/>
  <cols>
    <col min="1" max="1" width="19" style="801" bestFit="1" customWidth="1"/>
    <col min="2" max="2" width="44.21875" style="772" customWidth="1"/>
    <col min="3" max="3" width="25.109375" style="772" customWidth="1"/>
    <col min="4" max="4" width="25" style="772" customWidth="1"/>
    <col min="5" max="5" width="20.5546875" style="772" customWidth="1"/>
    <col min="6" max="6" width="14.109375" style="773" customWidth="1"/>
    <col min="7" max="7" width="17.6640625" style="773" bestFit="1" customWidth="1"/>
    <col min="8" max="8" width="21.33203125" style="772" bestFit="1" customWidth="1"/>
    <col min="9" max="9" width="19" style="772" bestFit="1" customWidth="1"/>
    <col min="10" max="16384" width="8.77734375" style="772"/>
  </cols>
  <sheetData>
    <row r="1" spans="2:5" hidden="1" x14ac:dyDescent="0.35"/>
    <row r="2" spans="2:5" hidden="1" x14ac:dyDescent="0.35"/>
    <row r="3" spans="2:5" hidden="1" x14ac:dyDescent="0.35">
      <c r="C3" s="774">
        <v>45866</v>
      </c>
      <c r="D3" s="775"/>
      <c r="E3" s="829" t="e">
        <f>SUM(#REF!)</f>
        <v>#REF!</v>
      </c>
    </row>
    <row r="4" spans="2:5" ht="15.45" hidden="1" customHeight="1" thickBot="1" x14ac:dyDescent="0.4">
      <c r="C4" s="776">
        <v>45867</v>
      </c>
      <c r="D4" s="777"/>
      <c r="E4" s="830"/>
    </row>
    <row r="5" spans="2:5" hidden="1" x14ac:dyDescent="0.35">
      <c r="C5" s="778" t="s">
        <v>461</v>
      </c>
      <c r="D5" s="779"/>
    </row>
    <row r="6" spans="2:5" hidden="1" x14ac:dyDescent="0.35">
      <c r="C6" s="778" t="s">
        <v>460</v>
      </c>
      <c r="D6" s="779"/>
    </row>
    <row r="7" spans="2:5" ht="18.600000000000001" hidden="1" thickBot="1" x14ac:dyDescent="0.4">
      <c r="C7" s="780" t="s">
        <v>81</v>
      </c>
      <c r="D7" s="781"/>
    </row>
    <row r="8" spans="2:5" ht="13.95" customHeight="1" thickBot="1" x14ac:dyDescent="0.4"/>
    <row r="9" spans="2:5" ht="19.95" customHeight="1" x14ac:dyDescent="0.35">
      <c r="B9" s="161" t="s">
        <v>2</v>
      </c>
      <c r="C9" s="164"/>
      <c r="D9" s="782"/>
    </row>
    <row r="10" spans="2:5" ht="19.95" customHeight="1" x14ac:dyDescent="0.35">
      <c r="B10" s="162" t="s">
        <v>3</v>
      </c>
      <c r="C10" s="165"/>
      <c r="D10" s="782"/>
    </row>
    <row r="11" spans="2:5" ht="19.95" customHeight="1" x14ac:dyDescent="0.35">
      <c r="B11" s="162" t="s">
        <v>4</v>
      </c>
      <c r="C11" s="167"/>
      <c r="D11" s="783"/>
    </row>
    <row r="12" spans="2:5" ht="19.95" customHeight="1" x14ac:dyDescent="0.35">
      <c r="B12" s="162" t="s">
        <v>5</v>
      </c>
      <c r="C12" s="167"/>
      <c r="D12" s="783"/>
    </row>
    <row r="13" spans="2:5" ht="19.95" customHeight="1" x14ac:dyDescent="0.35">
      <c r="B13" s="162" t="s">
        <v>6</v>
      </c>
      <c r="C13" s="356"/>
      <c r="D13" s="784"/>
    </row>
    <row r="14" spans="2:5" ht="19.95" customHeight="1" x14ac:dyDescent="0.35">
      <c r="B14" s="162" t="s">
        <v>7</v>
      </c>
      <c r="C14" s="167"/>
      <c r="D14" s="783"/>
    </row>
    <row r="15" spans="2:5" ht="19.95" customHeight="1" x14ac:dyDescent="0.35">
      <c r="B15" s="162" t="s">
        <v>8</v>
      </c>
      <c r="C15" s="167"/>
      <c r="D15" s="783"/>
    </row>
    <row r="16" spans="2:5" ht="19.95" customHeight="1" thickBot="1" x14ac:dyDescent="0.4">
      <c r="B16" s="163" t="s">
        <v>9</v>
      </c>
      <c r="C16" s="169"/>
      <c r="D16" s="783"/>
    </row>
    <row r="17" spans="1:9" ht="13.5" customHeight="1" x14ac:dyDescent="0.35"/>
    <row r="18" spans="1:9" ht="19.95" customHeight="1" thickBot="1" x14ac:dyDescent="0.4">
      <c r="B18" s="823"/>
      <c r="C18" s="823" t="s">
        <v>459</v>
      </c>
      <c r="D18" s="823" t="s">
        <v>458</v>
      </c>
      <c r="E18" s="823" t="s">
        <v>457</v>
      </c>
    </row>
    <row r="19" spans="1:9" ht="21.45" customHeight="1" thickBot="1" x14ac:dyDescent="0.4">
      <c r="B19" s="824" t="s">
        <v>50</v>
      </c>
      <c r="C19" s="825">
        <f>INTERNOS!N26</f>
        <v>59028.209270535604</v>
      </c>
      <c r="D19" s="825">
        <v>0</v>
      </c>
      <c r="E19" s="825">
        <f>C19-D19</f>
        <v>59028.209270535604</v>
      </c>
      <c r="F19" s="786">
        <f>E19*100%/C19</f>
        <v>1</v>
      </c>
    </row>
    <row r="20" spans="1:9" ht="23.55" customHeight="1" thickBot="1" x14ac:dyDescent="0.4">
      <c r="B20" s="826" t="s">
        <v>472</v>
      </c>
      <c r="C20" s="785">
        <f>EVENTO!N69</f>
        <v>507290.73660991678</v>
      </c>
      <c r="D20" s="785">
        <f>EVENTO!X69</f>
        <v>287417.09999999998</v>
      </c>
      <c r="E20" s="785">
        <f>C20-D20</f>
        <v>219873.63660991681</v>
      </c>
      <c r="F20" s="786">
        <f t="shared" ref="F20:F24" si="0">E20*100%/C20</f>
        <v>0.43342726516015512</v>
      </c>
    </row>
    <row r="21" spans="1:9" ht="24.45" customHeight="1" thickBot="1" x14ac:dyDescent="0.4">
      <c r="B21" s="826" t="s">
        <v>390</v>
      </c>
      <c r="C21" s="785">
        <f>Brindes!N24</f>
        <v>53393.581458928798</v>
      </c>
      <c r="D21" s="785">
        <f>Brindes!X24</f>
        <v>30504</v>
      </c>
      <c r="E21" s="785">
        <f>C21-D21</f>
        <v>22889.581458928798</v>
      </c>
      <c r="F21" s="786">
        <f t="shared" si="0"/>
        <v>0.42869537561431109</v>
      </c>
    </row>
    <row r="22" spans="1:9" ht="26.55" customHeight="1" thickBot="1" x14ac:dyDescent="0.4">
      <c r="B22" s="826" t="s">
        <v>473</v>
      </c>
      <c r="C22" s="785">
        <f>Novotel!N41</f>
        <v>906989.52556232119</v>
      </c>
      <c r="D22" s="785">
        <f>Novotel!X41</f>
        <v>872253.4</v>
      </c>
      <c r="E22" s="785">
        <f>C22-D22</f>
        <v>34736.125562321162</v>
      </c>
      <c r="F22" s="786">
        <f t="shared" si="0"/>
        <v>3.8298265397039989E-2</v>
      </c>
    </row>
    <row r="23" spans="1:9" ht="21" customHeight="1" thickBot="1" x14ac:dyDescent="0.4">
      <c r="B23" s="827" t="s">
        <v>474</v>
      </c>
      <c r="C23" s="785">
        <f>'Novotel Reunião 13pax'!N25</f>
        <v>23579.714688703865</v>
      </c>
      <c r="D23" s="785">
        <v>0</v>
      </c>
      <c r="E23" s="785">
        <f>C23-D23</f>
        <v>23579.714688703865</v>
      </c>
      <c r="F23" s="786">
        <f t="shared" si="0"/>
        <v>1</v>
      </c>
    </row>
    <row r="24" spans="1:9" ht="19.95" customHeight="1" thickBot="1" x14ac:dyDescent="0.4">
      <c r="B24" s="814" t="s">
        <v>81</v>
      </c>
      <c r="C24" s="828">
        <f>SUM(C19:C23)</f>
        <v>1550281.7675904064</v>
      </c>
      <c r="D24" s="828">
        <f>SUM(D19:D23)</f>
        <v>1190174.5</v>
      </c>
      <c r="E24" s="828">
        <f>SUM(E19:E23)</f>
        <v>360107.26759040629</v>
      </c>
      <c r="F24" s="786">
        <f t="shared" si="0"/>
        <v>0.23228504335061545</v>
      </c>
    </row>
    <row r="25" spans="1:9" ht="199.95" hidden="1" customHeight="1" x14ac:dyDescent="0.35"/>
    <row r="26" spans="1:9" ht="18.600000000000001" thickBot="1" x14ac:dyDescent="0.4">
      <c r="C26" s="787"/>
    </row>
    <row r="27" spans="1:9" ht="8.5500000000000007" hidden="1" customHeight="1" x14ac:dyDescent="0.4">
      <c r="C27" s="787"/>
    </row>
    <row r="28" spans="1:9" ht="24.45" customHeight="1" x14ac:dyDescent="0.35">
      <c r="B28" s="831" t="s">
        <v>523</v>
      </c>
      <c r="C28" s="832"/>
      <c r="D28" s="832"/>
      <c r="E28" s="832"/>
      <c r="F28" s="833"/>
      <c r="H28" s="790"/>
    </row>
    <row r="29" spans="1:9" ht="24.45" customHeight="1" x14ac:dyDescent="0.35">
      <c r="A29" s="805">
        <f>C29+C30</f>
        <v>852487.73</v>
      </c>
      <c r="B29" s="811" t="s">
        <v>478</v>
      </c>
      <c r="C29" s="808">
        <v>726878.4</v>
      </c>
      <c r="D29" s="834">
        <f>D24</f>
        <v>1190174.5</v>
      </c>
      <c r="E29" s="835">
        <f>(C29+C30)-D29</f>
        <v>-337686.77</v>
      </c>
      <c r="F29" s="836">
        <f>E29*100%/A29</f>
        <v>-0.3961192145252343</v>
      </c>
    </row>
    <row r="30" spans="1:9" ht="25.05" customHeight="1" x14ac:dyDescent="0.35">
      <c r="B30" s="811" t="s">
        <v>480</v>
      </c>
      <c r="C30" s="808">
        <v>125609.33</v>
      </c>
      <c r="D30" s="834"/>
      <c r="E30" s="835"/>
      <c r="F30" s="836"/>
      <c r="I30" s="790"/>
    </row>
    <row r="31" spans="1:9" ht="49.95" customHeight="1" x14ac:dyDescent="0.35">
      <c r="B31" s="812" t="s">
        <v>479</v>
      </c>
      <c r="C31" s="808">
        <v>22200.3</v>
      </c>
      <c r="D31" s="788">
        <v>815</v>
      </c>
      <c r="E31" s="788">
        <f>C31-D31</f>
        <v>21385.3</v>
      </c>
      <c r="F31" s="813">
        <f>E31*100%/C31</f>
        <v>0.96328878438579657</v>
      </c>
      <c r="H31" s="790"/>
      <c r="I31" s="790"/>
    </row>
    <row r="32" spans="1:9" ht="23.55" customHeight="1" x14ac:dyDescent="0.35">
      <c r="B32" s="812" t="s">
        <v>477</v>
      </c>
      <c r="C32" s="808">
        <v>615629.32999999996</v>
      </c>
      <c r="D32" s="788">
        <f>C32*0.15</f>
        <v>92344.399499999985</v>
      </c>
      <c r="E32" s="788">
        <f>C32-D32</f>
        <v>523284.93049999996</v>
      </c>
      <c r="F32" s="813">
        <f t="shared" ref="F32:F35" si="1">E32*100%/C32</f>
        <v>0.85</v>
      </c>
    </row>
    <row r="33" spans="2:8" ht="41.55" customHeight="1" x14ac:dyDescent="0.35">
      <c r="B33" s="812" t="s">
        <v>476</v>
      </c>
      <c r="C33" s="809">
        <v>1379.41</v>
      </c>
      <c r="D33" s="788">
        <f>(C33*0.15)+50.63</f>
        <v>257.54150000000004</v>
      </c>
      <c r="E33" s="788">
        <f>C33-D33</f>
        <v>1121.8685</v>
      </c>
      <c r="F33" s="813">
        <f t="shared" si="1"/>
        <v>0.8132959018710898</v>
      </c>
    </row>
    <row r="34" spans="2:8" ht="41.55" customHeight="1" x14ac:dyDescent="0.35">
      <c r="B34" s="812" t="s">
        <v>527</v>
      </c>
      <c r="C34" s="809">
        <v>45615.5</v>
      </c>
      <c r="D34" s="788">
        <f>C34*0.15</f>
        <v>6842.3249999999998</v>
      </c>
      <c r="E34" s="788">
        <f>C34-D34</f>
        <v>38773.175000000003</v>
      </c>
      <c r="F34" s="813">
        <f t="shared" si="1"/>
        <v>0.85000000000000009</v>
      </c>
    </row>
    <row r="35" spans="2:8" ht="23.55" customHeight="1" x14ac:dyDescent="0.35">
      <c r="B35" s="811" t="s">
        <v>475</v>
      </c>
      <c r="C35" s="810">
        <v>45164.56</v>
      </c>
      <c r="D35" s="789">
        <f>C35*0.15</f>
        <v>6774.6839999999993</v>
      </c>
      <c r="E35" s="789">
        <f>C35-D35</f>
        <v>38389.875999999997</v>
      </c>
      <c r="F35" s="813">
        <f t="shared" si="1"/>
        <v>0.85</v>
      </c>
    </row>
    <row r="36" spans="2:8" ht="31.5" customHeight="1" thickBot="1" x14ac:dyDescent="0.4">
      <c r="B36" s="814" t="s">
        <v>81</v>
      </c>
      <c r="C36" s="815">
        <f>SUM(C29:C35)</f>
        <v>1582476.8299999998</v>
      </c>
      <c r="D36" s="815">
        <f>SUM(D29:D35)</f>
        <v>1297208.45</v>
      </c>
      <c r="E36" s="815">
        <f>SUM(E29:E35)</f>
        <v>285268.37999999995</v>
      </c>
      <c r="F36" s="816">
        <f>E36*100%/C36</f>
        <v>0.18026701850667853</v>
      </c>
      <c r="H36" s="790"/>
    </row>
    <row r="37" spans="2:8" s="801" customFormat="1" ht="31.8" hidden="1" customHeight="1" x14ac:dyDescent="0.4">
      <c r="B37" s="802"/>
      <c r="C37" s="803"/>
      <c r="D37" s="803"/>
      <c r="E37" s="803"/>
      <c r="F37" s="804"/>
      <c r="G37" s="1036"/>
    </row>
    <row r="38" spans="2:8" ht="28.05" hidden="1" customHeight="1" x14ac:dyDescent="0.4">
      <c r="B38" s="799" t="s">
        <v>519</v>
      </c>
      <c r="C38" s="800">
        <f>C24-C36</f>
        <v>-32195.062409593491</v>
      </c>
    </row>
    <row r="39" spans="2:8" ht="18.600000000000001" hidden="1" thickBot="1" x14ac:dyDescent="0.4">
      <c r="E39" s="790"/>
      <c r="F39" s="791"/>
    </row>
    <row r="40" spans="2:8" ht="18.600000000000001" hidden="1" thickBot="1" x14ac:dyDescent="0.4"/>
    <row r="41" spans="2:8" ht="18.600000000000001" hidden="1" thickBot="1" x14ac:dyDescent="0.4"/>
    <row r="42" spans="2:8" ht="18.600000000000001" hidden="1" thickBot="1" x14ac:dyDescent="0.4"/>
    <row r="43" spans="2:8" x14ac:dyDescent="0.35">
      <c r="B43" s="817" t="s">
        <v>517</v>
      </c>
      <c r="C43" s="818">
        <v>1190174.5</v>
      </c>
      <c r="H43" s="807"/>
    </row>
    <row r="44" spans="2:8" x14ac:dyDescent="0.35">
      <c r="B44" s="819" t="s">
        <v>518</v>
      </c>
      <c r="C44" s="820">
        <f>D24</f>
        <v>1190174.5</v>
      </c>
    </row>
    <row r="45" spans="2:8" ht="18.600000000000001" thickBot="1" x14ac:dyDescent="0.4">
      <c r="B45" s="821"/>
      <c r="C45" s="822">
        <f>C43-C44</f>
        <v>0</v>
      </c>
      <c r="E45" s="790"/>
      <c r="G45" s="1037"/>
    </row>
    <row r="46" spans="2:8" x14ac:dyDescent="0.35">
      <c r="B46" s="790"/>
    </row>
    <row r="47" spans="2:8" x14ac:dyDescent="0.35">
      <c r="B47" s="790"/>
      <c r="C47" s="790"/>
      <c r="D47" s="790"/>
    </row>
    <row r="48" spans="2:8" x14ac:dyDescent="0.35">
      <c r="B48" s="790"/>
      <c r="C48" s="790">
        <f>C36-Novotel!N41</f>
        <v>675487.30443767866</v>
      </c>
      <c r="D48" s="790">
        <f>D36-Novotel!AB46</f>
        <v>424955.04999999993</v>
      </c>
      <c r="E48" s="790">
        <f>C48-D48</f>
        <v>250532.25443767873</v>
      </c>
      <c r="F48" s="791">
        <f>E48*100%/C48</f>
        <v>0.3708911370972971</v>
      </c>
      <c r="G48" s="773" t="s">
        <v>528</v>
      </c>
    </row>
    <row r="49" spans="2:3" x14ac:dyDescent="0.35">
      <c r="B49" s="790"/>
      <c r="C49" s="790"/>
    </row>
    <row r="50" spans="2:3" x14ac:dyDescent="0.35">
      <c r="B50" s="792"/>
    </row>
    <row r="51" spans="2:3" x14ac:dyDescent="0.35">
      <c r="B51" s="790"/>
      <c r="C51" s="806"/>
    </row>
    <row r="52" spans="2:3" x14ac:dyDescent="0.35">
      <c r="C52" s="790"/>
    </row>
    <row r="55" spans="2:3" x14ac:dyDescent="0.35">
      <c r="C55" s="790"/>
    </row>
  </sheetData>
  <mergeCells count="5">
    <mergeCell ref="E3:E4"/>
    <mergeCell ref="B28:F28"/>
    <mergeCell ref="D29:D30"/>
    <mergeCell ref="E29:E30"/>
    <mergeCell ref="F29:F30"/>
  </mergeCells>
  <pageMargins left="0.51181102362204722" right="0.51181102362204722" top="0.78740157480314965" bottom="0.78740157480314965" header="0.31496062992125984" footer="0.31496062992125984"/>
  <pageSetup paperSize="9" scale="80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B5C0-4177-4DDE-B188-3A34F0B97858}">
  <sheetPr codeName="Planilha16">
    <tabColor theme="0"/>
    <pageSetUpPr autoPageBreaks="0"/>
  </sheetPr>
  <dimension ref="A1:AM34"/>
  <sheetViews>
    <sheetView showGridLines="0" topLeftCell="F1" zoomScale="70" zoomScaleNormal="70" workbookViewId="0">
      <pane ySplit="1" topLeftCell="A14" activePane="bottomLeft" state="frozen"/>
      <selection activeCell="AC1" sqref="AC1"/>
      <selection pane="bottomLeft" activeCell="N30" sqref="N30:N31"/>
    </sheetView>
  </sheetViews>
  <sheetFormatPr defaultColWidth="8.77734375" defaultRowHeight="18" x14ac:dyDescent="0.35"/>
  <cols>
    <col min="1" max="1" width="7" style="352" hidden="1" customWidth="1"/>
    <col min="2" max="2" width="11.5546875" style="352" customWidth="1"/>
    <col min="3" max="3" width="12.44140625" style="352" hidden="1" customWidth="1"/>
    <col min="4" max="4" width="13.77734375" style="352" hidden="1" customWidth="1"/>
    <col min="5" max="5" width="15.44140625" style="352" hidden="1" customWidth="1"/>
    <col min="6" max="6" width="45.21875" style="352" customWidth="1"/>
    <col min="7" max="7" width="54.77734375" style="352" customWidth="1"/>
    <col min="8" max="8" width="7.21875" style="542" customWidth="1"/>
    <col min="9" max="9" width="7.77734375" style="542" customWidth="1"/>
    <col min="10" max="10" width="20.21875" style="352" customWidth="1"/>
    <col min="11" max="11" width="26.44140625" style="352" bestFit="1" customWidth="1"/>
    <col min="12" max="13" width="24.77734375" style="352" customWidth="1"/>
    <col min="14" max="14" width="26" style="352" customWidth="1"/>
    <col min="15" max="15" width="3.21875" style="352" hidden="1" customWidth="1"/>
    <col min="16" max="16" width="4.21875" style="352" hidden="1" customWidth="1"/>
    <col min="17" max="17" width="8.77734375" style="355" customWidth="1"/>
    <col min="18" max="18" width="11.21875" style="355" hidden="1" customWidth="1"/>
    <col min="19" max="19" width="24.21875" style="352" hidden="1" customWidth="1"/>
    <col min="20" max="20" width="28.77734375" style="352" customWidth="1"/>
    <col min="21" max="23" width="28.21875" style="352" hidden="1" customWidth="1"/>
    <col min="24" max="24" width="27.77734375" style="352" customWidth="1"/>
    <col min="25" max="25" width="27.77734375" style="352" hidden="1" customWidth="1"/>
    <col min="26" max="26" width="18.5546875" style="352" hidden="1" customWidth="1"/>
    <col min="27" max="27" width="27.77734375" style="352" hidden="1" customWidth="1"/>
    <col min="28" max="28" width="27.77734375" style="352" customWidth="1"/>
    <col min="29" max="29" width="27.21875" style="352" customWidth="1"/>
    <col min="30" max="31" width="33" style="352" hidden="1" customWidth="1"/>
    <col min="32" max="32" width="28" style="352" hidden="1" customWidth="1"/>
    <col min="33" max="33" width="1.21875" style="352" hidden="1" customWidth="1"/>
    <col min="34" max="34" width="81.5546875" style="352" hidden="1" customWidth="1"/>
    <col min="35" max="35" width="36.77734375" style="352" hidden="1" customWidth="1"/>
    <col min="36" max="36" width="1.5546875" style="352" hidden="1" customWidth="1"/>
    <col min="37" max="37" width="20.21875" style="352" hidden="1" customWidth="1"/>
    <col min="38" max="38" width="25.21875" style="352" hidden="1" customWidth="1"/>
    <col min="39" max="39" width="24.77734375" style="352" hidden="1" customWidth="1"/>
    <col min="40" max="40" width="8.77734375" style="352"/>
    <col min="41" max="41" width="21.21875" style="352" customWidth="1"/>
    <col min="42" max="16384" width="8.77734375" style="352"/>
  </cols>
  <sheetData>
    <row r="1" spans="1:37" ht="49.5" customHeight="1" x14ac:dyDescent="0.35">
      <c r="B1" s="353"/>
      <c r="C1" s="354"/>
      <c r="D1" s="354"/>
      <c r="F1" s="849" t="s">
        <v>0</v>
      </c>
      <c r="G1" s="849"/>
    </row>
    <row r="2" spans="1:37" ht="24.75" customHeight="1" x14ac:dyDescent="0.35">
      <c r="B2" s="355"/>
      <c r="D2" s="354"/>
      <c r="F2" s="850" t="s">
        <v>1</v>
      </c>
      <c r="G2" s="850"/>
    </row>
    <row r="3" spans="1:37" ht="18.600000000000001" thickBot="1" x14ac:dyDescent="0.4">
      <c r="B3" s="106"/>
      <c r="F3" s="89"/>
      <c r="G3" s="89"/>
    </row>
    <row r="4" spans="1:37" x14ac:dyDescent="0.35">
      <c r="F4" s="161" t="s">
        <v>2</v>
      </c>
      <c r="G4" s="164"/>
    </row>
    <row r="5" spans="1:37" x14ac:dyDescent="0.35">
      <c r="F5" s="162" t="s">
        <v>3</v>
      </c>
      <c r="G5" s="165"/>
    </row>
    <row r="6" spans="1:37" x14ac:dyDescent="0.35">
      <c r="F6" s="162" t="s">
        <v>4</v>
      </c>
      <c r="G6" s="167"/>
    </row>
    <row r="7" spans="1:37" ht="21.75" customHeight="1" x14ac:dyDescent="0.35">
      <c r="F7" s="162" t="s">
        <v>5</v>
      </c>
      <c r="G7" s="167"/>
    </row>
    <row r="8" spans="1:37" x14ac:dyDescent="0.35">
      <c r="F8" s="162" t="s">
        <v>6</v>
      </c>
      <c r="G8" s="356"/>
    </row>
    <row r="9" spans="1:37" x14ac:dyDescent="0.35">
      <c r="F9" s="162" t="s">
        <v>7</v>
      </c>
      <c r="G9" s="167"/>
      <c r="M9" s="352">
        <v>0.80469999999999997</v>
      </c>
    </row>
    <row r="10" spans="1:37" x14ac:dyDescent="0.35">
      <c r="F10" s="162" t="s">
        <v>8</v>
      </c>
      <c r="G10" s="167"/>
      <c r="M10" s="352">
        <f>1-M9</f>
        <v>0.19530000000000003</v>
      </c>
    </row>
    <row r="11" spans="1:37" ht="18.600000000000001" thickBot="1" x14ac:dyDescent="0.4">
      <c r="F11" s="163" t="s">
        <v>9</v>
      </c>
      <c r="G11" s="169"/>
      <c r="H11" s="357" t="s">
        <v>10</v>
      </c>
      <c r="I11" s="543"/>
      <c r="J11" s="359"/>
    </row>
    <row r="12" spans="1:37" ht="18.600000000000001" thickBot="1" x14ac:dyDescent="0.4">
      <c r="B12" s="360"/>
      <c r="M12" s="362"/>
      <c r="Q12" s="851" t="s">
        <v>11</v>
      </c>
      <c r="R12" s="852"/>
      <c r="S12" s="852"/>
      <c r="T12" s="853"/>
      <c r="U12" s="861" t="s">
        <v>12</v>
      </c>
      <c r="V12" s="862"/>
      <c r="W12" s="862"/>
      <c r="X12" s="863"/>
      <c r="Y12" s="363" t="s">
        <v>13</v>
      </c>
      <c r="Z12" s="364">
        <f>(1/(1-M14))-1</f>
        <v>0.24269914253759173</v>
      </c>
      <c r="AD12" s="844" t="s">
        <v>14</v>
      </c>
      <c r="AE12" s="845"/>
      <c r="AF12" s="846"/>
      <c r="AH12" s="847" t="s">
        <v>15</v>
      </c>
      <c r="AI12" s="848"/>
      <c r="AK12" s="365" t="s">
        <v>16</v>
      </c>
    </row>
    <row r="13" spans="1:37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366">
        <v>0.80469999999999997</v>
      </c>
    </row>
    <row r="14" spans="1:37" ht="36.6" thickBot="1" x14ac:dyDescent="0.4">
      <c r="A14" s="367">
        <v>0</v>
      </c>
      <c r="B14" s="368"/>
      <c r="C14" s="369"/>
      <c r="D14" s="370"/>
      <c r="E14" s="370"/>
      <c r="F14" s="544" t="s">
        <v>23</v>
      </c>
      <c r="G14" s="545" t="s">
        <v>24</v>
      </c>
      <c r="H14" s="546" t="s">
        <v>25</v>
      </c>
      <c r="I14" s="546" t="s">
        <v>26</v>
      </c>
      <c r="J14" s="547" t="s">
        <v>27</v>
      </c>
      <c r="K14" s="548" t="s">
        <v>28</v>
      </c>
      <c r="L14" s="549">
        <v>0</v>
      </c>
      <c r="M14" s="550">
        <f>1-M13</f>
        <v>0.19530000000000003</v>
      </c>
      <c r="N14" s="551" t="s">
        <v>29</v>
      </c>
      <c r="Q14" s="379" t="s">
        <v>30</v>
      </c>
      <c r="R14" s="380" t="s">
        <v>31</v>
      </c>
      <c r="S14" s="381" t="s">
        <v>32</v>
      </c>
      <c r="T14" s="382" t="s">
        <v>33</v>
      </c>
      <c r="U14" s="383" t="s">
        <v>34</v>
      </c>
      <c r="V14" s="384" t="s">
        <v>35</v>
      </c>
      <c r="W14" s="385" t="s">
        <v>36</v>
      </c>
      <c r="X14" s="385" t="s">
        <v>37</v>
      </c>
      <c r="Y14" s="386" t="s">
        <v>38</v>
      </c>
      <c r="Z14" s="387" t="s">
        <v>39</v>
      </c>
      <c r="AA14" s="520" t="s">
        <v>40</v>
      </c>
      <c r="AB14" s="837" t="s">
        <v>17</v>
      </c>
      <c r="AC14" s="837"/>
      <c r="AD14" s="532" t="s">
        <v>41</v>
      </c>
      <c r="AE14" s="388" t="s">
        <v>42</v>
      </c>
      <c r="AF14" s="388" t="s">
        <v>43</v>
      </c>
      <c r="AH14" s="389" t="s">
        <v>44</v>
      </c>
      <c r="AI14" s="390" t="s">
        <v>45</v>
      </c>
      <c r="AJ14" s="352" t="s">
        <v>46</v>
      </c>
      <c r="AK14" s="352" t="s">
        <v>46</v>
      </c>
    </row>
    <row r="15" spans="1:37" ht="30" customHeight="1" thickBot="1" x14ac:dyDescent="0.5">
      <c r="A15" s="434">
        <v>1</v>
      </c>
      <c r="B15" s="435">
        <v>1</v>
      </c>
      <c r="C15" s="436" t="s">
        <v>49</v>
      </c>
      <c r="D15" s="434"/>
      <c r="E15" s="434"/>
      <c r="F15" s="838" t="s">
        <v>50</v>
      </c>
      <c r="G15" s="839"/>
      <c r="H15" s="839"/>
      <c r="I15" s="839"/>
      <c r="J15" s="839"/>
      <c r="K15" s="839"/>
      <c r="L15" s="839"/>
      <c r="M15" s="839"/>
      <c r="N15" s="840"/>
      <c r="Q15" s="841" t="str">
        <f>IF(F15&lt;&gt;"",F15,"")</f>
        <v>INTERNOS</v>
      </c>
      <c r="R15" s="842"/>
      <c r="S15" s="842"/>
      <c r="T15" s="842"/>
      <c r="U15" s="842"/>
      <c r="V15" s="842"/>
      <c r="W15" s="842"/>
      <c r="X15" s="842"/>
      <c r="Y15" s="843"/>
      <c r="AB15" s="624"/>
      <c r="AC15" s="624"/>
    </row>
    <row r="16" spans="1:37" ht="30" customHeight="1" thickBot="1" x14ac:dyDescent="0.4">
      <c r="A16" s="370">
        <v>2</v>
      </c>
      <c r="B16" s="435" t="s">
        <v>51</v>
      </c>
      <c r="C16" s="437" t="s">
        <v>52</v>
      </c>
      <c r="D16" s="370"/>
      <c r="E16" s="370"/>
      <c r="F16" s="857" t="s">
        <v>53</v>
      </c>
      <c r="G16" s="858"/>
      <c r="H16" s="858"/>
      <c r="I16" s="858"/>
      <c r="J16" s="858"/>
      <c r="K16" s="859"/>
      <c r="L16" s="552" t="s">
        <v>54</v>
      </c>
      <c r="M16" s="552" t="s">
        <v>55</v>
      </c>
      <c r="N16" s="553" t="s">
        <v>29</v>
      </c>
      <c r="Q16" s="857" t="str">
        <f>IF(F16&lt;&gt;"",F16,"")</f>
        <v>Custos Internos</v>
      </c>
      <c r="R16" s="858"/>
      <c r="S16" s="858"/>
      <c r="T16" s="858"/>
      <c r="U16" s="858"/>
      <c r="V16" s="858"/>
      <c r="W16" s="858"/>
      <c r="X16" s="858"/>
      <c r="Y16" s="860"/>
      <c r="Z16" s="554" t="s">
        <v>56</v>
      </c>
      <c r="AA16" s="622" t="s">
        <v>40</v>
      </c>
      <c r="AB16" s="534" t="s">
        <v>47</v>
      </c>
      <c r="AC16" s="535" t="s">
        <v>48</v>
      </c>
    </row>
    <row r="17" spans="1:29" s="562" customFormat="1" ht="42.75" customHeight="1" x14ac:dyDescent="0.3">
      <c r="A17" s="441">
        <v>3</v>
      </c>
      <c r="B17" s="435" t="s">
        <v>57</v>
      </c>
      <c r="C17" s="442" t="s">
        <v>58</v>
      </c>
      <c r="D17" s="441" t="s">
        <v>59</v>
      </c>
      <c r="E17" s="441" t="s">
        <v>60</v>
      </c>
      <c r="F17" s="555" t="s">
        <v>462</v>
      </c>
      <c r="G17" s="556" t="s">
        <v>61</v>
      </c>
      <c r="H17" s="557">
        <v>1</v>
      </c>
      <c r="I17" s="558">
        <v>1</v>
      </c>
      <c r="J17" s="559">
        <v>9500</v>
      </c>
      <c r="K17" s="560">
        <f>IF(F17&lt;&gt;"",H17*I17*J17,"")</f>
        <v>9500</v>
      </c>
      <c r="L17" s="560">
        <f t="shared" ref="L17:L24" si="0">IF(K17&lt;&gt;"",IF(D17="INTERNO",0,K17*$L$14),"")</f>
        <v>0</v>
      </c>
      <c r="M17" s="560">
        <f>IF(K17&lt;&gt;"",IF(E17="FAT.OGGI",SUM(K17:L17)*(1/(1-$M$14)-1),L17*(1/(1-$M$14)-1)),"")</f>
        <v>2305.6418541071216</v>
      </c>
      <c r="N17" s="561">
        <f>SUM(K17:M17)</f>
        <v>11805.641854107122</v>
      </c>
      <c r="Q17" s="563">
        <f t="shared" ref="Q17:R20" si="1">IF(H17&lt;&gt;"",H17,"")</f>
        <v>1</v>
      </c>
      <c r="R17" s="564">
        <f t="shared" si="1"/>
        <v>1</v>
      </c>
      <c r="S17" s="565">
        <v>0</v>
      </c>
      <c r="T17" s="565">
        <f>IF(Q17&lt;&gt;"",Q17*R17*S17,"")</f>
        <v>0</v>
      </c>
      <c r="U17" s="566">
        <f>IF(Q17&lt;&gt;"",K17-T17,"")</f>
        <v>9500</v>
      </c>
      <c r="V17" s="567">
        <f>IF(Q17&lt;&gt;"",0%,"")</f>
        <v>0</v>
      </c>
      <c r="W17" s="568">
        <f>IF(Q17&lt;&gt;"",V17*U17,"")</f>
        <v>0</v>
      </c>
      <c r="X17" s="568">
        <f>IF(Q17&lt;&gt;"",W17+T17,"")</f>
        <v>0</v>
      </c>
      <c r="Y17" s="569">
        <f>IF(Q17&lt;&gt;"",X17+M17,"")</f>
        <v>2305.6418541071216</v>
      </c>
      <c r="Z17" s="449">
        <f>IF(Q17&lt;&gt;"",U17/K17,"")</f>
        <v>1</v>
      </c>
      <c r="AA17" s="525" t="e">
        <f t="shared" ref="AA17:AA24" si="2">T17/N19</f>
        <v>#DIV/0!</v>
      </c>
      <c r="AB17" s="625">
        <f>X17-AC17</f>
        <v>0</v>
      </c>
      <c r="AC17" s="626"/>
    </row>
    <row r="18" spans="1:29" s="562" customFormat="1" ht="41.25" customHeight="1" x14ac:dyDescent="0.3">
      <c r="A18" s="434">
        <v>4</v>
      </c>
      <c r="B18" s="435" t="s">
        <v>62</v>
      </c>
      <c r="C18" s="436" t="s">
        <v>58</v>
      </c>
      <c r="D18" s="434" t="s">
        <v>59</v>
      </c>
      <c r="E18" s="434" t="s">
        <v>60</v>
      </c>
      <c r="F18" s="570" t="s">
        <v>463</v>
      </c>
      <c r="G18" s="510" t="s">
        <v>63</v>
      </c>
      <c r="H18" s="571">
        <v>1</v>
      </c>
      <c r="I18" s="572">
        <v>1</v>
      </c>
      <c r="J18" s="573">
        <v>8500</v>
      </c>
      <c r="K18" s="452">
        <f t="shared" ref="K18:K24" si="3">IF(F18&lt;&gt;"",H18*I18*J18,"")</f>
        <v>8500</v>
      </c>
      <c r="L18" s="452">
        <f t="shared" si="0"/>
        <v>0</v>
      </c>
      <c r="M18" s="452">
        <f t="shared" ref="M18:M24" si="4">IF(K18&lt;&gt;"",IF(E18="FAT.OGGI",SUM(K18:L18)*(1/(1-$M$14)-1),L18*(1/(1-$M$14)-1)),"")</f>
        <v>2062.9427115695298</v>
      </c>
      <c r="N18" s="445">
        <f t="shared" ref="N18:N24" si="5">SUM(K18:M18)</f>
        <v>10562.942711569529</v>
      </c>
      <c r="Q18" s="574">
        <f t="shared" si="1"/>
        <v>1</v>
      </c>
      <c r="R18" s="575">
        <f t="shared" si="1"/>
        <v>1</v>
      </c>
      <c r="S18" s="576">
        <v>0</v>
      </c>
      <c r="T18" s="576">
        <f t="shared" ref="T18:T24" si="6">IF(Q18&lt;&gt;"",Q18*R18*S18,"")</f>
        <v>0</v>
      </c>
      <c r="U18" s="577">
        <f t="shared" ref="U18:U24" si="7">IF(Q18&lt;&gt;"",K18-T18,"")</f>
        <v>8500</v>
      </c>
      <c r="V18" s="578">
        <f t="shared" ref="V18:V24" si="8">IF(Q18&lt;&gt;"",0%,"")</f>
        <v>0</v>
      </c>
      <c r="W18" s="579">
        <f t="shared" ref="W18:W24" si="9">IF(Q18&lt;&gt;"",V18*U18,"")</f>
        <v>0</v>
      </c>
      <c r="X18" s="579">
        <f t="shared" ref="X18:X24" si="10">IF(Q18&lt;&gt;"",W18+T18,"")</f>
        <v>0</v>
      </c>
      <c r="Y18" s="580">
        <f t="shared" ref="Y18:Y25" si="11">IF(Q18&lt;&gt;"",X18+M18,"")</f>
        <v>2062.9427115695298</v>
      </c>
      <c r="Z18" s="449">
        <f t="shared" ref="Z18:Z24" si="12">IF(Q18&lt;&gt;"",U18/K18,"")</f>
        <v>1</v>
      </c>
      <c r="AA18" s="525">
        <f t="shared" si="2"/>
        <v>0</v>
      </c>
      <c r="AB18" s="625">
        <f t="shared" ref="AB18:AB24" si="13">X18-AC18</f>
        <v>0</v>
      </c>
      <c r="AC18" s="626"/>
    </row>
    <row r="19" spans="1:29" s="562" customFormat="1" ht="36" x14ac:dyDescent="0.3">
      <c r="A19" s="370">
        <v>5</v>
      </c>
      <c r="B19" s="435" t="s">
        <v>64</v>
      </c>
      <c r="C19" s="437" t="s">
        <v>58</v>
      </c>
      <c r="D19" s="370" t="s">
        <v>59</v>
      </c>
      <c r="E19" s="370" t="s">
        <v>60</v>
      </c>
      <c r="F19" s="443" t="s">
        <v>65</v>
      </c>
      <c r="G19" s="453" t="s">
        <v>368</v>
      </c>
      <c r="H19" s="467">
        <v>1</v>
      </c>
      <c r="I19" s="467">
        <v>0</v>
      </c>
      <c r="J19" s="444">
        <v>6500</v>
      </c>
      <c r="K19" s="404">
        <f>IF(F19&lt;&gt;"",H19*I19*J19,"")</f>
        <v>0</v>
      </c>
      <c r="L19" s="404">
        <f t="shared" si="0"/>
        <v>0</v>
      </c>
      <c r="M19" s="404">
        <f>IF(K19&lt;&gt;"",IF(E19="FAT.OGGI",SUM(K19:L19)*(1/(1-$M$14)-1),L19*(1/(1-$M$14)-1)),"")</f>
        <v>0</v>
      </c>
      <c r="N19" s="405">
        <f>SUM(K19:M19)</f>
        <v>0</v>
      </c>
      <c r="Q19" s="581">
        <f t="shared" si="1"/>
        <v>1</v>
      </c>
      <c r="R19" s="582">
        <f t="shared" si="1"/>
        <v>0</v>
      </c>
      <c r="S19" s="583">
        <v>5000</v>
      </c>
      <c r="T19" s="583">
        <f>IF(Q19&lt;&gt;"",Q19*R19*S19,"")</f>
        <v>0</v>
      </c>
      <c r="U19" s="584">
        <f>IF(Q19&lt;&gt;"",K19-T19,"")</f>
        <v>0</v>
      </c>
      <c r="V19" s="585">
        <f>IF(Q19&lt;&gt;"",0%,"")</f>
        <v>0</v>
      </c>
      <c r="W19" s="586">
        <f>IF(Q19&lt;&gt;"",V19*U19,"")</f>
        <v>0</v>
      </c>
      <c r="X19" s="586">
        <f>IF(Q19&lt;&gt;"",W19+T19,"")</f>
        <v>0</v>
      </c>
      <c r="Y19" s="485">
        <f>IF(Q19&lt;&gt;"",X19+M19,"")</f>
        <v>0</v>
      </c>
      <c r="Z19" s="449" t="e">
        <f t="shared" si="12"/>
        <v>#DIV/0!</v>
      </c>
      <c r="AA19" s="525">
        <f t="shared" si="2"/>
        <v>0</v>
      </c>
      <c r="AB19" s="625">
        <f t="shared" si="13"/>
        <v>0</v>
      </c>
      <c r="AC19" s="626"/>
    </row>
    <row r="20" spans="1:29" s="562" customFormat="1" ht="26.1" customHeight="1" x14ac:dyDescent="0.35">
      <c r="A20" s="441">
        <v>6</v>
      </c>
      <c r="B20" s="435" t="s">
        <v>66</v>
      </c>
      <c r="C20" s="442" t="s">
        <v>58</v>
      </c>
      <c r="D20" s="441" t="s">
        <v>59</v>
      </c>
      <c r="E20" s="441" t="s">
        <v>60</v>
      </c>
      <c r="F20" s="509" t="s">
        <v>464</v>
      </c>
      <c r="G20" s="510" t="s">
        <v>67</v>
      </c>
      <c r="H20" s="587">
        <v>1</v>
      </c>
      <c r="I20" s="587">
        <v>1</v>
      </c>
      <c r="J20" s="452">
        <v>1800</v>
      </c>
      <c r="K20" s="452">
        <f>IF(F20&lt;&gt;"",H20*I20*J20,"")</f>
        <v>1800</v>
      </c>
      <c r="L20" s="452">
        <f t="shared" si="0"/>
        <v>0</v>
      </c>
      <c r="M20" s="452">
        <f>IF(K20&lt;&gt;"",IF(E20="FAT.OGGI",SUM(K20:L20)*(1/(1-$M$14)-1),L20*(1/(1-$M$14)-1)),"")</f>
        <v>436.85845656766509</v>
      </c>
      <c r="N20" s="445">
        <f>SUM(K20:M20)</f>
        <v>2236.8584565676651</v>
      </c>
      <c r="Q20" s="581">
        <f t="shared" si="1"/>
        <v>1</v>
      </c>
      <c r="R20" s="582">
        <v>0</v>
      </c>
      <c r="S20" s="487">
        <v>1000</v>
      </c>
      <c r="T20" s="487">
        <f>IF(Q20&lt;&gt;"",Q20*R20*S20,"")</f>
        <v>0</v>
      </c>
      <c r="U20" s="488">
        <f>IF(Q20&lt;&gt;"",K20-T20,"")</f>
        <v>1800</v>
      </c>
      <c r="V20" s="489">
        <f>IF(Q20&lt;&gt;"",0%,"")</f>
        <v>0</v>
      </c>
      <c r="W20" s="490">
        <f>IF(Q20&lt;&gt;"",V20*U20,"")</f>
        <v>0</v>
      </c>
      <c r="X20" s="490">
        <f>IF(Q20&lt;&gt;"",W20+T20,"")</f>
        <v>0</v>
      </c>
      <c r="Y20" s="413">
        <f>IF(Q20&lt;&gt;"",X20+M20,"")</f>
        <v>436.85845656766509</v>
      </c>
      <c r="Z20" s="449">
        <f t="shared" si="12"/>
        <v>1</v>
      </c>
      <c r="AA20" s="525">
        <f>T20/N23</f>
        <v>0</v>
      </c>
      <c r="AB20" s="625">
        <f t="shared" si="13"/>
        <v>0</v>
      </c>
      <c r="AC20" s="626"/>
    </row>
    <row r="21" spans="1:29" s="562" customFormat="1" ht="39.6" customHeight="1" x14ac:dyDescent="0.3">
      <c r="A21" s="434">
        <v>7</v>
      </c>
      <c r="B21" s="435" t="s">
        <v>68</v>
      </c>
      <c r="C21" s="436" t="s">
        <v>58</v>
      </c>
      <c r="D21" s="434" t="s">
        <v>59</v>
      </c>
      <c r="E21" s="434" t="s">
        <v>60</v>
      </c>
      <c r="F21" s="570" t="s">
        <v>465</v>
      </c>
      <c r="G21" s="588" t="s">
        <v>69</v>
      </c>
      <c r="H21" s="589">
        <v>1</v>
      </c>
      <c r="I21" s="590">
        <v>1</v>
      </c>
      <c r="J21" s="591">
        <v>8500</v>
      </c>
      <c r="K21" s="452">
        <f t="shared" si="3"/>
        <v>8500</v>
      </c>
      <c r="L21" s="452">
        <f t="shared" si="0"/>
        <v>0</v>
      </c>
      <c r="M21" s="452">
        <f t="shared" si="4"/>
        <v>2062.9427115695298</v>
      </c>
      <c r="N21" s="445">
        <f t="shared" si="5"/>
        <v>10562.942711569529</v>
      </c>
      <c r="Q21" s="581">
        <f t="shared" ref="Q21:Q22" si="14">IF(H21&lt;&gt;"",H21,"")</f>
        <v>1</v>
      </c>
      <c r="R21" s="582">
        <v>0</v>
      </c>
      <c r="S21" s="408">
        <v>6000</v>
      </c>
      <c r="T21" s="408">
        <f t="shared" si="6"/>
        <v>0</v>
      </c>
      <c r="U21" s="410">
        <f t="shared" si="7"/>
        <v>8500</v>
      </c>
      <c r="V21" s="411">
        <f t="shared" si="8"/>
        <v>0</v>
      </c>
      <c r="W21" s="412">
        <f t="shared" si="9"/>
        <v>0</v>
      </c>
      <c r="X21" s="412">
        <f t="shared" si="10"/>
        <v>0</v>
      </c>
      <c r="Y21" s="413">
        <f t="shared" si="11"/>
        <v>2062.9427115695298</v>
      </c>
      <c r="Z21" s="449">
        <f t="shared" si="12"/>
        <v>1</v>
      </c>
      <c r="AA21" s="525">
        <f>T21/N24</f>
        <v>0</v>
      </c>
      <c r="AB21" s="625">
        <f t="shared" si="13"/>
        <v>0</v>
      </c>
      <c r="AC21" s="626"/>
    </row>
    <row r="22" spans="1:29" s="562" customFormat="1" ht="36.75" customHeight="1" x14ac:dyDescent="0.3">
      <c r="A22" s="370">
        <v>8</v>
      </c>
      <c r="B22" s="435" t="s">
        <v>70</v>
      </c>
      <c r="C22" s="437" t="s">
        <v>58</v>
      </c>
      <c r="D22" s="370" t="s">
        <v>59</v>
      </c>
      <c r="E22" s="370" t="s">
        <v>60</v>
      </c>
      <c r="F22" s="592" t="s">
        <v>71</v>
      </c>
      <c r="G22" s="588"/>
      <c r="H22" s="593">
        <v>1</v>
      </c>
      <c r="I22" s="594">
        <v>0</v>
      </c>
      <c r="J22" s="595">
        <v>8200</v>
      </c>
      <c r="K22" s="452">
        <f t="shared" ref="K22" si="15">IF(F22&lt;&gt;"",H22*I22*J22,"")</f>
        <v>0</v>
      </c>
      <c r="L22" s="452">
        <f t="shared" ref="L22" si="16">IF(K22&lt;&gt;"",IF(D22="INTERNO",0,K22*$L$14),"")</f>
        <v>0</v>
      </c>
      <c r="M22" s="452">
        <f t="shared" ref="M22" si="17">IF(K22&lt;&gt;"",IF(E22="FAT.OGGI",SUM(K22:L22)*(1/(1-$M$14)-1),L22*(1/(1-$M$14)-1)),"")</f>
        <v>0</v>
      </c>
      <c r="N22" s="445">
        <f t="shared" ref="N22" si="18">SUM(K22:M22)</f>
        <v>0</v>
      </c>
      <c r="Q22" s="406">
        <f t="shared" si="14"/>
        <v>1</v>
      </c>
      <c r="R22" s="407">
        <f t="shared" ref="R22" si="19">IF(I22&lt;&gt;"",I22,"")</f>
        <v>0</v>
      </c>
      <c r="S22" s="408">
        <v>6000</v>
      </c>
      <c r="T22" s="408">
        <f t="shared" ref="T22" si="20">IF(Q22&lt;&gt;"",Q22*R22*S22,"")</f>
        <v>0</v>
      </c>
      <c r="U22" s="410">
        <f t="shared" ref="U22" si="21">IF(Q22&lt;&gt;"",K22-T22,"")</f>
        <v>0</v>
      </c>
      <c r="V22" s="411">
        <f t="shared" ref="V22" si="22">IF(Q22&lt;&gt;"",0%,"")</f>
        <v>0</v>
      </c>
      <c r="W22" s="412">
        <f t="shared" ref="W22" si="23">IF(Q22&lt;&gt;"",V22*U22,"")</f>
        <v>0</v>
      </c>
      <c r="X22" s="412">
        <f t="shared" ref="X22" si="24">IF(Q22&lt;&gt;"",W22+T22,"")</f>
        <v>0</v>
      </c>
      <c r="Y22" s="413">
        <f t="shared" ref="Y22" si="25">IF(Q22&lt;&gt;"",X22+M22,"")</f>
        <v>0</v>
      </c>
      <c r="Z22" s="449" t="e">
        <f t="shared" ref="Z22" si="26">IF(Q22&lt;&gt;"",U22/K22,"")</f>
        <v>#DIV/0!</v>
      </c>
      <c r="AA22" s="525">
        <f t="shared" ref="AA22" si="27">T22/N24</f>
        <v>0</v>
      </c>
      <c r="AB22" s="625">
        <f t="shared" si="13"/>
        <v>0</v>
      </c>
      <c r="AC22" s="626"/>
    </row>
    <row r="23" spans="1:29" s="562" customFormat="1" ht="57" customHeight="1" x14ac:dyDescent="0.3">
      <c r="A23" s="370">
        <v>9</v>
      </c>
      <c r="B23" s="435" t="s">
        <v>72</v>
      </c>
      <c r="C23" s="437" t="s">
        <v>58</v>
      </c>
      <c r="D23" s="370" t="s">
        <v>59</v>
      </c>
      <c r="E23" s="370" t="s">
        <v>60</v>
      </c>
      <c r="F23" s="592" t="s">
        <v>466</v>
      </c>
      <c r="G23" s="588" t="s">
        <v>73</v>
      </c>
      <c r="H23" s="593">
        <v>1</v>
      </c>
      <c r="I23" s="594">
        <v>1</v>
      </c>
      <c r="J23" s="595">
        <v>8200</v>
      </c>
      <c r="K23" s="452">
        <f t="shared" si="3"/>
        <v>8200</v>
      </c>
      <c r="L23" s="452">
        <f t="shared" si="0"/>
        <v>0</v>
      </c>
      <c r="M23" s="452">
        <f t="shared" si="4"/>
        <v>1990.1329688082521</v>
      </c>
      <c r="N23" s="445">
        <f t="shared" si="5"/>
        <v>10190.132968808251</v>
      </c>
      <c r="Q23" s="406">
        <v>2</v>
      </c>
      <c r="R23" s="407">
        <v>4</v>
      </c>
      <c r="S23" s="408">
        <v>650</v>
      </c>
      <c r="T23" s="408">
        <f t="shared" si="6"/>
        <v>5200</v>
      </c>
      <c r="U23" s="410">
        <f t="shared" si="7"/>
        <v>3000</v>
      </c>
      <c r="V23" s="411">
        <f t="shared" si="8"/>
        <v>0</v>
      </c>
      <c r="W23" s="412">
        <f t="shared" si="9"/>
        <v>0</v>
      </c>
      <c r="X23" s="412">
        <f t="shared" si="10"/>
        <v>5200</v>
      </c>
      <c r="Y23" s="413">
        <f t="shared" si="11"/>
        <v>7190.1329688082524</v>
      </c>
      <c r="Z23" s="449">
        <f t="shared" si="12"/>
        <v>0.36585365853658536</v>
      </c>
      <c r="AA23" s="525">
        <f t="shared" si="2"/>
        <v>8.8093473684210527E-2</v>
      </c>
      <c r="AB23" s="625">
        <f t="shared" si="13"/>
        <v>5200</v>
      </c>
      <c r="AC23" s="626"/>
    </row>
    <row r="24" spans="1:29" s="562" customFormat="1" ht="47.55" customHeight="1" thickBot="1" x14ac:dyDescent="0.35">
      <c r="A24" s="370">
        <v>10</v>
      </c>
      <c r="B24" s="435" t="s">
        <v>74</v>
      </c>
      <c r="C24" s="437" t="s">
        <v>58</v>
      </c>
      <c r="D24" s="370" t="s">
        <v>59</v>
      </c>
      <c r="E24" s="370" t="s">
        <v>60</v>
      </c>
      <c r="F24" s="596" t="s">
        <v>467</v>
      </c>
      <c r="G24" s="597" t="s">
        <v>367</v>
      </c>
      <c r="H24" s="598">
        <v>1</v>
      </c>
      <c r="I24" s="599">
        <v>2</v>
      </c>
      <c r="J24" s="600">
        <v>5500</v>
      </c>
      <c r="K24" s="601">
        <f t="shared" si="3"/>
        <v>11000</v>
      </c>
      <c r="L24" s="601">
        <f t="shared" si="0"/>
        <v>0</v>
      </c>
      <c r="M24" s="601">
        <f t="shared" si="4"/>
        <v>2669.6905679135089</v>
      </c>
      <c r="N24" s="602">
        <f t="shared" si="5"/>
        <v>13669.690567913509</v>
      </c>
      <c r="Q24" s="603">
        <v>1</v>
      </c>
      <c r="R24" s="604">
        <f t="shared" ref="R24" si="28">IF(I24&lt;&gt;"",I24,"")</f>
        <v>2</v>
      </c>
      <c r="S24" s="605">
        <v>6500</v>
      </c>
      <c r="T24" s="605">
        <f t="shared" si="6"/>
        <v>13000</v>
      </c>
      <c r="U24" s="606">
        <f t="shared" si="7"/>
        <v>-2000</v>
      </c>
      <c r="V24" s="607">
        <f t="shared" si="8"/>
        <v>0</v>
      </c>
      <c r="W24" s="608">
        <f t="shared" si="9"/>
        <v>0</v>
      </c>
      <c r="X24" s="608">
        <f t="shared" si="10"/>
        <v>13000</v>
      </c>
      <c r="Y24" s="609">
        <f t="shared" si="11"/>
        <v>15669.690567913509</v>
      </c>
      <c r="Z24" s="610">
        <f t="shared" si="12"/>
        <v>-0.18181818181818182</v>
      </c>
      <c r="AA24" s="525">
        <f t="shared" si="2"/>
        <v>0.2202336842105263</v>
      </c>
      <c r="AB24" s="625">
        <f t="shared" si="13"/>
        <v>13000</v>
      </c>
      <c r="AC24" s="626"/>
    </row>
    <row r="25" spans="1:29" s="562" customFormat="1" ht="30.75" customHeight="1" thickBot="1" x14ac:dyDescent="0.4">
      <c r="A25" s="370">
        <v>11</v>
      </c>
      <c r="B25" s="435"/>
      <c r="C25" s="437" t="s">
        <v>75</v>
      </c>
      <c r="D25" s="370"/>
      <c r="E25" s="370"/>
      <c r="F25" s="854" t="s">
        <v>76</v>
      </c>
      <c r="G25" s="855"/>
      <c r="H25" s="855"/>
      <c r="I25" s="855"/>
      <c r="J25" s="856"/>
      <c r="K25" s="172">
        <f>SUM(K17:K24)</f>
        <v>47500</v>
      </c>
      <c r="L25" s="172">
        <f>SUM(L17:L24)</f>
        <v>0</v>
      </c>
      <c r="M25" s="172">
        <f>SUM(M17:M24)</f>
        <v>11528.209270535606</v>
      </c>
      <c r="N25" s="173">
        <f>SUM(N17:N24)</f>
        <v>59028.209270535604</v>
      </c>
      <c r="Q25" s="854" t="s">
        <v>76</v>
      </c>
      <c r="R25" s="855"/>
      <c r="S25" s="856"/>
      <c r="T25" s="180">
        <f>SUM(T17:T24)</f>
        <v>18200</v>
      </c>
      <c r="U25" s="181">
        <f>SUM(U17:U24)</f>
        <v>29300</v>
      </c>
      <c r="V25" s="611"/>
      <c r="W25" s="611"/>
      <c r="X25" s="182">
        <f>SUM(X17:X24)</f>
        <v>18200</v>
      </c>
      <c r="Y25" s="176">
        <f t="shared" si="11"/>
        <v>29728.209270535604</v>
      </c>
      <c r="Z25" s="612" t="s">
        <v>77</v>
      </c>
      <c r="AA25" s="623" t="s">
        <v>78</v>
      </c>
      <c r="AB25" s="625"/>
      <c r="AC25" s="626"/>
    </row>
    <row r="26" spans="1:29" ht="30.75" customHeight="1" thickBot="1" x14ac:dyDescent="0.5">
      <c r="A26" s="441">
        <v>12</v>
      </c>
      <c r="B26" s="511"/>
      <c r="C26" s="442" t="s">
        <v>79</v>
      </c>
      <c r="D26" s="441"/>
      <c r="E26" s="441"/>
      <c r="F26" s="613" t="s">
        <v>80</v>
      </c>
      <c r="G26" s="614"/>
      <c r="H26" s="615"/>
      <c r="I26" s="615"/>
      <c r="J26" s="614"/>
      <c r="K26" s="616">
        <f>SUM(K17:K24)</f>
        <v>47500</v>
      </c>
      <c r="L26" s="616">
        <f>SUM(L17:L24)</f>
        <v>0</v>
      </c>
      <c r="M26" s="616">
        <f>SUM(M17:M24)</f>
        <v>11528.209270535606</v>
      </c>
      <c r="N26" s="617">
        <f>SUM(N17:N24)</f>
        <v>59028.209270535604</v>
      </c>
      <c r="Q26" s="618" t="s">
        <v>81</v>
      </c>
      <c r="R26" s="619"/>
      <c r="S26" s="614"/>
      <c r="T26" s="616">
        <f>SUM(T17:T24)</f>
        <v>18200</v>
      </c>
      <c r="U26" s="616">
        <f>SUM(U17:U24)</f>
        <v>29300</v>
      </c>
      <c r="V26" s="614"/>
      <c r="W26" s="614"/>
      <c r="X26" s="616">
        <f>SUM(X17:X24)</f>
        <v>18200</v>
      </c>
      <c r="Y26" s="617">
        <f>SUM(Y17:Y24)</f>
        <v>29728.209270535608</v>
      </c>
      <c r="Z26" s="620">
        <f>IF(Q26&lt;&gt;"",(N26-Y26)/N26,"")</f>
        <v>0.49637284210526311</v>
      </c>
      <c r="AA26" s="531">
        <f>IF(Z26&lt;&gt;"",(N26-Y26),"")</f>
        <v>29299.999999999996</v>
      </c>
      <c r="AB26" s="625">
        <f>SUM(AB17:AB25)</f>
        <v>18200</v>
      </c>
      <c r="AC26" s="627">
        <f>SUM(AC17:AC25)</f>
        <v>0</v>
      </c>
    </row>
    <row r="30" spans="1:29" ht="21" x14ac:dyDescent="0.4">
      <c r="AB30" s="628">
        <v>0</v>
      </c>
      <c r="AC30" s="629" t="s">
        <v>54</v>
      </c>
    </row>
    <row r="31" spans="1:29" ht="21" x14ac:dyDescent="0.4">
      <c r="AB31" s="628">
        <v>0</v>
      </c>
      <c r="AC31" s="629" t="s">
        <v>55</v>
      </c>
    </row>
    <row r="32" spans="1:29" ht="21" x14ac:dyDescent="0.4">
      <c r="AB32" s="628">
        <v>0</v>
      </c>
      <c r="AC32" s="629" t="s">
        <v>468</v>
      </c>
    </row>
    <row r="33" spans="28:29" ht="21" x14ac:dyDescent="0.4">
      <c r="AB33" s="628">
        <v>0</v>
      </c>
      <c r="AC33" s="630" t="s">
        <v>457</v>
      </c>
    </row>
    <row r="34" spans="28:29" ht="21" x14ac:dyDescent="0.4">
      <c r="AB34" s="628">
        <v>0</v>
      </c>
      <c r="AC34" s="630"/>
    </row>
  </sheetData>
  <mergeCells count="13">
    <mergeCell ref="F1:G1"/>
    <mergeCell ref="F2:G2"/>
    <mergeCell ref="Q12:T12"/>
    <mergeCell ref="F25:J25"/>
    <mergeCell ref="Q25:S25"/>
    <mergeCell ref="F16:K16"/>
    <mergeCell ref="Q16:Y16"/>
    <mergeCell ref="U12:X12"/>
    <mergeCell ref="AB14:AC14"/>
    <mergeCell ref="F15:N15"/>
    <mergeCell ref="Q15:Y15"/>
    <mergeCell ref="AD12:AF12"/>
    <mergeCell ref="AH12:AI12"/>
  </mergeCells>
  <dataValidations count="3">
    <dataValidation type="list" allowBlank="1" showInputMessage="1" showErrorMessage="1" sqref="D26 D17:D24" xr:uid="{B2501A6B-C378-4938-9008-6B6FB112A8F7}">
      <formula1>"INTERNO,OPERACIONAL"</formula1>
    </dataValidation>
    <dataValidation type="list" allowBlank="1" showInputMessage="1" showErrorMessage="1" sqref="E17:E24" xr:uid="{EC9DC71C-EF3C-42D9-BC26-4D39184E73F5}">
      <formula1>"FAT.OGGI,FAT.CLIENTE"</formula1>
    </dataValidation>
    <dataValidation type="list" allowBlank="1" showInputMessage="1" showErrorMessage="1" sqref="E26" xr:uid="{9D86C16B-4928-4F2C-A8A3-4100B72B87A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20834" r:id="rId4" name="Label2">
          <controlPr defaultSize="0" autoLine="0" r:id="rId5">
            <anchor>
              <from>
                <xdr:col>43</xdr:col>
                <xdr:colOff>533400</xdr:colOff>
                <xdr:row>0</xdr:row>
                <xdr:rowOff>228600</xdr:rowOff>
              </from>
              <to>
                <xdr:col>45</xdr:col>
                <xdr:colOff>289560</xdr:colOff>
                <xdr:row>1</xdr:row>
                <xdr:rowOff>137160</xdr:rowOff>
              </to>
            </anchor>
          </controlPr>
        </control>
      </mc:Choice>
      <mc:Fallback>
        <control shapeId="120834" r:id="rId4" name="Label2"/>
      </mc:Fallback>
    </mc:AlternateContent>
    <mc:AlternateContent xmlns:mc="http://schemas.openxmlformats.org/markup-compatibility/2006">
      <mc:Choice Requires="x14">
        <control shapeId="120833" r:id="rId6" name="Label1">
          <controlPr defaultSize="0" autoLine="0" r:id="rId7">
            <anchor>
              <from>
                <xdr:col>1</xdr:col>
                <xdr:colOff>670560</xdr:colOff>
                <xdr:row>0</xdr:row>
                <xdr:rowOff>152400</xdr:rowOff>
              </from>
              <to>
                <xdr:col>5</xdr:col>
                <xdr:colOff>800100</xdr:colOff>
                <xdr:row>1</xdr:row>
                <xdr:rowOff>60960</xdr:rowOff>
              </to>
            </anchor>
          </controlPr>
        </control>
      </mc:Choice>
      <mc:Fallback>
        <control shapeId="120833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9C89-F712-4479-BECA-984EB08BAB6F}">
  <sheetPr codeName="Planilha44">
    <tabColor theme="0"/>
    <pageSetUpPr autoPageBreaks="0"/>
  </sheetPr>
  <dimension ref="A1:AM88"/>
  <sheetViews>
    <sheetView showGridLines="0" topLeftCell="J1" zoomScale="73" zoomScaleNormal="73" workbookViewId="0">
      <pane ySplit="1" topLeftCell="A65" activePane="bottomLeft" state="frozen"/>
      <selection activeCell="H19" sqref="H19"/>
      <selection pane="bottomLeft" activeCell="AO72" sqref="AO72"/>
    </sheetView>
  </sheetViews>
  <sheetFormatPr defaultColWidth="8.77734375" defaultRowHeight="18" x14ac:dyDescent="0.35"/>
  <cols>
    <col min="1" max="1" width="4.77734375" style="352" hidden="1" customWidth="1"/>
    <col min="2" max="2" width="14.5546875" style="352" bestFit="1" customWidth="1"/>
    <col min="3" max="4" width="4.77734375" style="352" hidden="1" customWidth="1"/>
    <col min="5" max="5" width="7.44140625" style="352" hidden="1" customWidth="1"/>
    <col min="6" max="6" width="45.77734375" style="352" customWidth="1"/>
    <col min="7" max="7" width="63.77734375" style="352" customWidth="1"/>
    <col min="8" max="9" width="7.5546875" style="355" customWidth="1"/>
    <col min="10" max="10" width="20.77734375" style="352" customWidth="1"/>
    <col min="11" max="11" width="29.77734375" style="352" customWidth="1"/>
    <col min="12" max="13" width="26.44140625" style="352" customWidth="1"/>
    <col min="14" max="14" width="29.77734375" style="352" customWidth="1"/>
    <col min="15" max="15" width="1.44140625" style="352" hidden="1" customWidth="1"/>
    <col min="16" max="16" width="2.77734375" style="352" hidden="1" customWidth="1"/>
    <col min="17" max="17" width="13.44140625" style="355" customWidth="1"/>
    <col min="18" max="18" width="8" style="355" hidden="1" customWidth="1"/>
    <col min="19" max="19" width="18.44140625" style="352" hidden="1" customWidth="1"/>
    <col min="20" max="20" width="29.77734375" style="352" customWidth="1"/>
    <col min="21" max="21" width="26.44140625" style="352" hidden="1" customWidth="1"/>
    <col min="22" max="23" width="19.5546875" style="352" hidden="1" customWidth="1"/>
    <col min="24" max="24" width="29.77734375" style="352" customWidth="1"/>
    <col min="25" max="25" width="29.77734375" style="352" hidden="1" customWidth="1"/>
    <col min="26" max="26" width="16" style="352" hidden="1" customWidth="1"/>
    <col min="27" max="27" width="25.77734375" style="352" hidden="1" customWidth="1"/>
    <col min="28" max="28" width="25.77734375" style="352" customWidth="1"/>
    <col min="29" max="29" width="28.21875" style="352" customWidth="1"/>
    <col min="30" max="31" width="33" style="352" hidden="1" customWidth="1"/>
    <col min="32" max="32" width="28" style="352" hidden="1" customWidth="1"/>
    <col min="33" max="33" width="1.21875" style="352" hidden="1" customWidth="1"/>
    <col min="34" max="34" width="81.5546875" style="352" hidden="1" customWidth="1"/>
    <col min="35" max="35" width="36.77734375" style="352" hidden="1" customWidth="1"/>
    <col min="36" max="36" width="1.5546875" style="352" hidden="1" customWidth="1"/>
    <col min="37" max="37" width="20.21875" style="352" hidden="1" customWidth="1"/>
    <col min="38" max="38" width="25.21875" style="352" hidden="1" customWidth="1"/>
    <col min="39" max="39" width="23.6640625" style="355" customWidth="1"/>
    <col min="40" max="40" width="8.77734375" style="352"/>
    <col min="41" max="41" width="21.21875" style="352" customWidth="1"/>
    <col min="42" max="16384" width="8.77734375" style="352"/>
  </cols>
  <sheetData>
    <row r="1" spans="1:39" ht="66.45" customHeight="1" x14ac:dyDescent="0.35">
      <c r="B1" s="353"/>
      <c r="C1" s="354"/>
      <c r="D1" s="354"/>
      <c r="F1" s="849" t="s">
        <v>0</v>
      </c>
      <c r="G1" s="849"/>
    </row>
    <row r="2" spans="1:39" ht="24.75" customHeight="1" x14ac:dyDescent="0.35">
      <c r="B2" s="355"/>
      <c r="D2" s="354"/>
      <c r="F2" s="850" t="s">
        <v>1</v>
      </c>
      <c r="G2" s="850"/>
    </row>
    <row r="3" spans="1:39" ht="18.600000000000001" thickBot="1" x14ac:dyDescent="0.4">
      <c r="B3" s="106"/>
      <c r="F3" s="89"/>
      <c r="G3" s="89"/>
    </row>
    <row r="4" spans="1:39" x14ac:dyDescent="0.35">
      <c r="F4" s="161" t="s">
        <v>2</v>
      </c>
      <c r="G4" s="164"/>
    </row>
    <row r="5" spans="1:39" x14ac:dyDescent="0.35">
      <c r="F5" s="162" t="s">
        <v>3</v>
      </c>
      <c r="G5" s="165"/>
    </row>
    <row r="6" spans="1:39" x14ac:dyDescent="0.35">
      <c r="F6" s="162" t="s">
        <v>4</v>
      </c>
      <c r="G6" s="167"/>
    </row>
    <row r="7" spans="1:39" ht="21.75" customHeight="1" x14ac:dyDescent="0.35">
      <c r="F7" s="162" t="s">
        <v>5</v>
      </c>
      <c r="G7" s="167"/>
    </row>
    <row r="8" spans="1:39" x14ac:dyDescent="0.35">
      <c r="F8" s="162" t="s">
        <v>6</v>
      </c>
      <c r="G8" s="356"/>
    </row>
    <row r="9" spans="1:39" x14ac:dyDescent="0.35">
      <c r="F9" s="162" t="s">
        <v>7</v>
      </c>
      <c r="G9" s="167"/>
      <c r="M9" s="352">
        <v>0.80469999999999997</v>
      </c>
    </row>
    <row r="10" spans="1:39" x14ac:dyDescent="0.35">
      <c r="F10" s="162" t="s">
        <v>8</v>
      </c>
      <c r="G10" s="167"/>
      <c r="M10" s="352">
        <f>1-M9</f>
        <v>0.19530000000000003</v>
      </c>
    </row>
    <row r="11" spans="1:39" ht="18.600000000000001" thickBot="1" x14ac:dyDescent="0.4">
      <c r="F11" s="163" t="s">
        <v>9</v>
      </c>
      <c r="G11" s="169"/>
      <c r="H11" s="357" t="s">
        <v>10</v>
      </c>
      <c r="I11" s="358"/>
      <c r="J11" s="359"/>
    </row>
    <row r="12" spans="1:39" ht="18.600000000000001" thickBot="1" x14ac:dyDescent="0.4">
      <c r="B12" s="360"/>
      <c r="G12" s="361"/>
      <c r="M12" s="362"/>
      <c r="Q12" s="851" t="s">
        <v>11</v>
      </c>
      <c r="R12" s="852"/>
      <c r="S12" s="852"/>
      <c r="T12" s="853"/>
      <c r="U12" s="861" t="s">
        <v>12</v>
      </c>
      <c r="V12" s="862"/>
      <c r="W12" s="862"/>
      <c r="X12" s="863"/>
      <c r="Y12" s="363" t="s">
        <v>13</v>
      </c>
      <c r="Z12" s="364">
        <f>(1/(1-M14))-1</f>
        <v>0.24269914253759173</v>
      </c>
      <c r="AD12" s="844" t="s">
        <v>14</v>
      </c>
      <c r="AE12" s="845"/>
      <c r="AF12" s="846"/>
      <c r="AH12" s="847" t="s">
        <v>15</v>
      </c>
      <c r="AI12" s="848"/>
      <c r="AK12" s="365" t="s">
        <v>16</v>
      </c>
    </row>
    <row r="13" spans="1:39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366">
        <v>0.80469999999999997</v>
      </c>
    </row>
    <row r="14" spans="1:39" ht="36.6" thickBot="1" x14ac:dyDescent="0.4">
      <c r="A14" s="367">
        <v>0</v>
      </c>
      <c r="B14" s="368"/>
      <c r="C14" s="369"/>
      <c r="D14" s="370"/>
      <c r="E14" s="370"/>
      <c r="F14" s="371" t="s">
        <v>23</v>
      </c>
      <c r="G14" s="372" t="s">
        <v>24</v>
      </c>
      <c r="H14" s="373" t="s">
        <v>25</v>
      </c>
      <c r="I14" s="373" t="s">
        <v>26</v>
      </c>
      <c r="J14" s="374" t="s">
        <v>27</v>
      </c>
      <c r="K14" s="375" t="s">
        <v>28</v>
      </c>
      <c r="L14" s="376">
        <v>7.4999999999999997E-2</v>
      </c>
      <c r="M14" s="377">
        <f>1-M13</f>
        <v>0.19530000000000003</v>
      </c>
      <c r="N14" s="378" t="s">
        <v>29</v>
      </c>
      <c r="Q14" s="379" t="s">
        <v>30</v>
      </c>
      <c r="R14" s="380" t="s">
        <v>31</v>
      </c>
      <c r="S14" s="381" t="s">
        <v>32</v>
      </c>
      <c r="T14" s="382" t="s">
        <v>33</v>
      </c>
      <c r="U14" s="383" t="s">
        <v>34</v>
      </c>
      <c r="V14" s="384" t="s">
        <v>35</v>
      </c>
      <c r="W14" s="385" t="s">
        <v>36</v>
      </c>
      <c r="X14" s="385" t="s">
        <v>37</v>
      </c>
      <c r="Y14" s="386" t="s">
        <v>38</v>
      </c>
      <c r="Z14" s="387" t="s">
        <v>39</v>
      </c>
      <c r="AA14" s="520" t="s">
        <v>40</v>
      </c>
      <c r="AB14" s="890" t="s">
        <v>17</v>
      </c>
      <c r="AC14" s="890"/>
      <c r="AD14" s="532" t="s">
        <v>41</v>
      </c>
      <c r="AE14" s="388" t="s">
        <v>42</v>
      </c>
      <c r="AF14" s="388" t="s">
        <v>43</v>
      </c>
      <c r="AH14" s="389" t="s">
        <v>44</v>
      </c>
      <c r="AI14" s="390" t="s">
        <v>45</v>
      </c>
      <c r="AJ14" s="352" t="s">
        <v>46</v>
      </c>
      <c r="AK14" s="352" t="s">
        <v>46</v>
      </c>
    </row>
    <row r="15" spans="1:39" s="394" customFormat="1" ht="30" customHeight="1" thickBot="1" x14ac:dyDescent="0.45">
      <c r="A15" s="391">
        <v>1</v>
      </c>
      <c r="B15" s="392">
        <v>1</v>
      </c>
      <c r="C15" s="393" t="s">
        <v>49</v>
      </c>
      <c r="D15" s="391"/>
      <c r="E15" s="391"/>
      <c r="F15" s="883" t="s">
        <v>82</v>
      </c>
      <c r="G15" s="884"/>
      <c r="H15" s="884"/>
      <c r="I15" s="884"/>
      <c r="J15" s="884"/>
      <c r="K15" s="884"/>
      <c r="L15" s="884"/>
      <c r="M15" s="884"/>
      <c r="N15" s="885"/>
      <c r="Q15" s="880" t="str">
        <f>IF(F15&lt;&gt;"",F15,"")</f>
        <v>ESTRUTURA</v>
      </c>
      <c r="R15" s="881"/>
      <c r="S15" s="881"/>
      <c r="T15" s="881"/>
      <c r="U15" s="881"/>
      <c r="V15" s="881"/>
      <c r="W15" s="881"/>
      <c r="X15" s="881"/>
      <c r="Y15" s="882"/>
      <c r="Z15" s="395"/>
      <c r="AA15" s="396"/>
      <c r="AB15" s="536"/>
      <c r="AC15" s="536"/>
      <c r="AM15" s="757"/>
    </row>
    <row r="16" spans="1:39" s="394" customFormat="1" ht="30" customHeight="1" x14ac:dyDescent="0.35">
      <c r="A16" s="391">
        <v>2</v>
      </c>
      <c r="B16" s="392" t="s">
        <v>51</v>
      </c>
      <c r="C16" s="393" t="s">
        <v>52</v>
      </c>
      <c r="D16" s="391"/>
      <c r="E16" s="391"/>
      <c r="F16" s="886"/>
      <c r="G16" s="887"/>
      <c r="H16" s="887"/>
      <c r="I16" s="887"/>
      <c r="J16" s="887"/>
      <c r="K16" s="887"/>
      <c r="L16" s="397" t="s">
        <v>54</v>
      </c>
      <c r="M16" s="397" t="s">
        <v>55</v>
      </c>
      <c r="N16" s="398" t="s">
        <v>29</v>
      </c>
      <c r="Q16" s="888" t="str">
        <f>IF(F16&lt;&gt;"",F16,"")</f>
        <v/>
      </c>
      <c r="R16" s="875"/>
      <c r="S16" s="875"/>
      <c r="T16" s="875"/>
      <c r="U16" s="875"/>
      <c r="V16" s="875"/>
      <c r="W16" s="875"/>
      <c r="X16" s="875"/>
      <c r="Y16" s="889"/>
      <c r="Z16" s="399" t="s">
        <v>56</v>
      </c>
      <c r="AA16" s="521" t="s">
        <v>40</v>
      </c>
      <c r="AB16" s="537" t="s">
        <v>47</v>
      </c>
      <c r="AC16" s="538" t="s">
        <v>48</v>
      </c>
      <c r="AM16" s="757"/>
    </row>
    <row r="17" spans="1:39" s="394" customFormat="1" ht="92.25" customHeight="1" x14ac:dyDescent="0.3">
      <c r="A17" s="391">
        <v>3</v>
      </c>
      <c r="B17" s="392" t="s">
        <v>57</v>
      </c>
      <c r="C17" s="393" t="s">
        <v>58</v>
      </c>
      <c r="D17" s="391" t="s">
        <v>83</v>
      </c>
      <c r="E17" s="391" t="s">
        <v>60</v>
      </c>
      <c r="F17" s="400" t="s">
        <v>385</v>
      </c>
      <c r="G17" s="401" t="s">
        <v>84</v>
      </c>
      <c r="H17" s="402">
        <v>1</v>
      </c>
      <c r="I17" s="403">
        <v>1</v>
      </c>
      <c r="J17" s="404">
        <v>7705</v>
      </c>
      <c r="K17" s="404">
        <f t="shared" ref="K17:K23" si="0">IF(F17&lt;&gt;"",H17*I17*J17,"")</f>
        <v>7705</v>
      </c>
      <c r="L17" s="404">
        <f t="shared" ref="L17:L23" si="1">IF(K17&lt;&gt;"",IF(D17="INTERNO",0,K17*$L$14),"")</f>
        <v>577.875</v>
      </c>
      <c r="M17" s="404">
        <f t="shared" ref="M17:M23" si="2">IF(K17&lt;&gt;"",IF(E17="FAT.OGGI",SUM(K17:L17)*(1/(1-$M$14)-1),L17*(1/(1-$M$14)-1)),"")</f>
        <v>2010.2466602460552</v>
      </c>
      <c r="N17" s="405">
        <f t="shared" ref="N17:N23" si="3">SUM(K17:M17)</f>
        <v>10293.121660246055</v>
      </c>
      <c r="Q17" s="406">
        <f t="shared" ref="Q17:R23" si="4">IF(H17&lt;&gt;"",H17,"")</f>
        <v>1</v>
      </c>
      <c r="R17" s="407">
        <f t="shared" si="4"/>
        <v>1</v>
      </c>
      <c r="S17" s="408">
        <v>6700</v>
      </c>
      <c r="T17" s="409"/>
      <c r="U17" s="410">
        <f t="shared" ref="U17:U23" si="5">IF(Q17&lt;&gt;"",K17-T17,"")</f>
        <v>7705</v>
      </c>
      <c r="V17" s="411">
        <f t="shared" ref="V17:V23" si="6">IF(Q17&lt;&gt;"",0%,"")</f>
        <v>0</v>
      </c>
      <c r="W17" s="412">
        <f t="shared" ref="W17:W23" si="7">IF(Q17&lt;&gt;"",V17*U17,"")</f>
        <v>0</v>
      </c>
      <c r="X17" s="412">
        <f t="shared" ref="X17:X23" si="8">IF(Q17&lt;&gt;"",W17+T17,"")</f>
        <v>0</v>
      </c>
      <c r="Y17" s="413">
        <f t="shared" ref="Y17:Y24" si="9">IF(Q17&lt;&gt;"",X17+M17,"")</f>
        <v>2010.2466602460552</v>
      </c>
      <c r="Z17" s="414">
        <f t="shared" ref="Z17:Z23" si="10">IF(Q17&lt;&gt;"",U17/K17,"")</f>
        <v>1</v>
      </c>
      <c r="AA17" s="522">
        <f t="shared" ref="AA17:AA23" si="11">T17/$T$24</f>
        <v>0</v>
      </c>
      <c r="AB17" s="539">
        <f>X17-AC17</f>
        <v>0</v>
      </c>
      <c r="AC17" s="540"/>
      <c r="AD17" s="415">
        <v>6700</v>
      </c>
      <c r="AE17" s="416">
        <v>0</v>
      </c>
      <c r="AF17" s="417">
        <v>45988</v>
      </c>
      <c r="AH17" s="394" t="s">
        <v>399</v>
      </c>
      <c r="AI17" s="394" t="s">
        <v>400</v>
      </c>
      <c r="AM17" s="757"/>
    </row>
    <row r="18" spans="1:39" s="394" customFormat="1" ht="102.75" customHeight="1" x14ac:dyDescent="0.3">
      <c r="A18" s="391">
        <v>4</v>
      </c>
      <c r="B18" s="392" t="s">
        <v>62</v>
      </c>
      <c r="C18" s="393" t="s">
        <v>58</v>
      </c>
      <c r="D18" s="391" t="s">
        <v>83</v>
      </c>
      <c r="E18" s="391" t="s">
        <v>60</v>
      </c>
      <c r="F18" s="400" t="s">
        <v>85</v>
      </c>
      <c r="G18" s="401" t="s">
        <v>86</v>
      </c>
      <c r="H18" s="402">
        <v>1</v>
      </c>
      <c r="I18" s="403">
        <v>1</v>
      </c>
      <c r="J18" s="404">
        <v>15270</v>
      </c>
      <c r="K18" s="404">
        <f t="shared" si="0"/>
        <v>15270</v>
      </c>
      <c r="L18" s="404">
        <f t="shared" si="1"/>
        <v>1145.25</v>
      </c>
      <c r="M18" s="404">
        <f t="shared" si="2"/>
        <v>3983.9670995402025</v>
      </c>
      <c r="N18" s="405">
        <f t="shared" si="3"/>
        <v>20399.217099540201</v>
      </c>
      <c r="Q18" s="406">
        <f t="shared" si="4"/>
        <v>1</v>
      </c>
      <c r="R18" s="407">
        <f t="shared" si="4"/>
        <v>1</v>
      </c>
      <c r="S18" s="408">
        <f>7500+2200+2600</f>
        <v>12300</v>
      </c>
      <c r="T18" s="408"/>
      <c r="U18" s="410">
        <f t="shared" si="5"/>
        <v>15270</v>
      </c>
      <c r="V18" s="411">
        <f t="shared" si="6"/>
        <v>0</v>
      </c>
      <c r="W18" s="412">
        <f t="shared" si="7"/>
        <v>0</v>
      </c>
      <c r="X18" s="412">
        <f t="shared" si="8"/>
        <v>0</v>
      </c>
      <c r="Y18" s="413">
        <f t="shared" si="9"/>
        <v>3983.9670995402025</v>
      </c>
      <c r="Z18" s="414">
        <f t="shared" si="10"/>
        <v>1</v>
      </c>
      <c r="AA18" s="522">
        <f t="shared" si="11"/>
        <v>0</v>
      </c>
      <c r="AB18" s="539">
        <f t="shared" ref="AB18:AB67" si="12">X18-AC18</f>
        <v>0</v>
      </c>
      <c r="AC18" s="540"/>
      <c r="AD18" s="415">
        <v>12300</v>
      </c>
      <c r="AE18" s="416">
        <v>0</v>
      </c>
      <c r="AH18" s="394" t="s">
        <v>399</v>
      </c>
      <c r="AI18" s="394" t="s">
        <v>400</v>
      </c>
      <c r="AM18" s="757"/>
    </row>
    <row r="19" spans="1:39" s="394" customFormat="1" ht="303.75" customHeight="1" x14ac:dyDescent="0.3">
      <c r="A19" s="391">
        <v>5</v>
      </c>
      <c r="B19" s="392" t="s">
        <v>64</v>
      </c>
      <c r="C19" s="393" t="s">
        <v>58</v>
      </c>
      <c r="D19" s="391" t="s">
        <v>83</v>
      </c>
      <c r="E19" s="391" t="s">
        <v>60</v>
      </c>
      <c r="F19" s="400" t="s">
        <v>87</v>
      </c>
      <c r="G19" s="401" t="s">
        <v>88</v>
      </c>
      <c r="H19" s="402">
        <v>1</v>
      </c>
      <c r="I19" s="403">
        <v>1</v>
      </c>
      <c r="J19" s="404">
        <v>46920</v>
      </c>
      <c r="K19" s="404">
        <f t="shared" si="0"/>
        <v>46920</v>
      </c>
      <c r="L19" s="404">
        <f t="shared" si="1"/>
        <v>3519</v>
      </c>
      <c r="M19" s="404">
        <f t="shared" si="2"/>
        <v>12241.50205045359</v>
      </c>
      <c r="N19" s="405">
        <f t="shared" si="3"/>
        <v>62680.502050453593</v>
      </c>
      <c r="Q19" s="406">
        <f t="shared" si="4"/>
        <v>1</v>
      </c>
      <c r="R19" s="407">
        <f t="shared" si="4"/>
        <v>1</v>
      </c>
      <c r="S19" s="408">
        <f>17300+9800+4000+5700+2000+2000</f>
        <v>40800</v>
      </c>
      <c r="T19" s="408"/>
      <c r="U19" s="410">
        <f t="shared" si="5"/>
        <v>46920</v>
      </c>
      <c r="V19" s="411">
        <f t="shared" si="6"/>
        <v>0</v>
      </c>
      <c r="W19" s="412">
        <f t="shared" si="7"/>
        <v>0</v>
      </c>
      <c r="X19" s="412">
        <f t="shared" si="8"/>
        <v>0</v>
      </c>
      <c r="Y19" s="413">
        <f t="shared" si="9"/>
        <v>12241.50205045359</v>
      </c>
      <c r="Z19" s="414">
        <f t="shared" si="10"/>
        <v>1</v>
      </c>
      <c r="AA19" s="522">
        <f t="shared" si="11"/>
        <v>0</v>
      </c>
      <c r="AB19" s="539">
        <f t="shared" si="12"/>
        <v>0</v>
      </c>
      <c r="AC19" s="540"/>
      <c r="AD19" s="415">
        <v>40800</v>
      </c>
      <c r="AE19" s="416">
        <v>0</v>
      </c>
      <c r="AH19" s="394" t="s">
        <v>399</v>
      </c>
      <c r="AI19" s="394" t="s">
        <v>400</v>
      </c>
      <c r="AM19" s="757"/>
    </row>
    <row r="20" spans="1:39" s="394" customFormat="1" ht="90" x14ac:dyDescent="0.3">
      <c r="A20" s="391">
        <v>6</v>
      </c>
      <c r="B20" s="392" t="s">
        <v>66</v>
      </c>
      <c r="C20" s="393" t="s">
        <v>58</v>
      </c>
      <c r="D20" s="391" t="s">
        <v>83</v>
      </c>
      <c r="E20" s="391" t="s">
        <v>60</v>
      </c>
      <c r="F20" s="400" t="s">
        <v>410</v>
      </c>
      <c r="G20" s="401" t="s">
        <v>89</v>
      </c>
      <c r="H20" s="402">
        <v>1</v>
      </c>
      <c r="I20" s="403">
        <v>1</v>
      </c>
      <c r="J20" s="404">
        <v>11500</v>
      </c>
      <c r="K20" s="404">
        <f t="shared" si="0"/>
        <v>11500</v>
      </c>
      <c r="L20" s="404">
        <f t="shared" si="1"/>
        <v>862.5</v>
      </c>
      <c r="M20" s="404">
        <f t="shared" si="2"/>
        <v>3000.3681496209779</v>
      </c>
      <c r="N20" s="405">
        <f t="shared" si="3"/>
        <v>15362.868149620977</v>
      </c>
      <c r="Q20" s="406">
        <f t="shared" si="4"/>
        <v>1</v>
      </c>
      <c r="R20" s="407">
        <f t="shared" si="4"/>
        <v>1</v>
      </c>
      <c r="S20" s="408">
        <v>10000</v>
      </c>
      <c r="T20" s="408">
        <v>69800</v>
      </c>
      <c r="U20" s="410">
        <f t="shared" si="5"/>
        <v>-58300</v>
      </c>
      <c r="V20" s="411">
        <f t="shared" si="6"/>
        <v>0</v>
      </c>
      <c r="W20" s="412">
        <f t="shared" si="7"/>
        <v>0</v>
      </c>
      <c r="X20" s="412">
        <f t="shared" si="8"/>
        <v>69800</v>
      </c>
      <c r="Y20" s="413">
        <f t="shared" si="9"/>
        <v>72800.368149620976</v>
      </c>
      <c r="Z20" s="414">
        <f t="shared" si="10"/>
        <v>-5.0695652173913039</v>
      </c>
      <c r="AA20" s="522">
        <f t="shared" si="11"/>
        <v>0.42948494110733892</v>
      </c>
      <c r="AB20" s="539">
        <f t="shared" si="12"/>
        <v>0</v>
      </c>
      <c r="AC20" s="794">
        <f>34900+34900</f>
        <v>69800</v>
      </c>
      <c r="AD20" s="394">
        <v>10000</v>
      </c>
      <c r="AE20" s="416">
        <v>0</v>
      </c>
      <c r="AH20" s="394" t="s">
        <v>399</v>
      </c>
      <c r="AI20" s="394" t="s">
        <v>400</v>
      </c>
      <c r="AM20" s="758" t="s">
        <v>497</v>
      </c>
    </row>
    <row r="21" spans="1:39" s="394" customFormat="1" ht="90" x14ac:dyDescent="0.3">
      <c r="A21" s="391">
        <v>7</v>
      </c>
      <c r="B21" s="392" t="s">
        <v>68</v>
      </c>
      <c r="C21" s="393" t="s">
        <v>58</v>
      </c>
      <c r="D21" s="391" t="s">
        <v>83</v>
      </c>
      <c r="E21" s="391" t="s">
        <v>60</v>
      </c>
      <c r="F21" s="400" t="s">
        <v>90</v>
      </c>
      <c r="G21" s="401" t="s">
        <v>91</v>
      </c>
      <c r="H21" s="403">
        <v>1</v>
      </c>
      <c r="I21" s="403">
        <v>3</v>
      </c>
      <c r="J21" s="404">
        <v>2000</v>
      </c>
      <c r="K21" s="404">
        <f t="shared" si="0"/>
        <v>6000</v>
      </c>
      <c r="L21" s="404">
        <f t="shared" si="1"/>
        <v>450</v>
      </c>
      <c r="M21" s="404">
        <f t="shared" si="2"/>
        <v>1565.4094693674667</v>
      </c>
      <c r="N21" s="405">
        <f t="shared" si="3"/>
        <v>8015.409469367467</v>
      </c>
      <c r="Q21" s="406">
        <f t="shared" si="4"/>
        <v>1</v>
      </c>
      <c r="R21" s="407">
        <f t="shared" si="4"/>
        <v>3</v>
      </c>
      <c r="S21" s="409">
        <v>2000</v>
      </c>
      <c r="T21" s="408"/>
      <c r="U21" s="410">
        <f t="shared" si="5"/>
        <v>6000</v>
      </c>
      <c r="V21" s="411">
        <f t="shared" si="6"/>
        <v>0</v>
      </c>
      <c r="W21" s="412">
        <f t="shared" si="7"/>
        <v>0</v>
      </c>
      <c r="X21" s="412">
        <f t="shared" si="8"/>
        <v>0</v>
      </c>
      <c r="Y21" s="413">
        <f t="shared" si="9"/>
        <v>1565.4094693674667</v>
      </c>
      <c r="Z21" s="414">
        <f t="shared" si="10"/>
        <v>1</v>
      </c>
      <c r="AA21" s="522">
        <f t="shared" si="11"/>
        <v>0</v>
      </c>
      <c r="AB21" s="539">
        <f t="shared" si="12"/>
        <v>0</v>
      </c>
      <c r="AC21" s="540"/>
      <c r="AM21" s="757"/>
    </row>
    <row r="22" spans="1:39" s="394" customFormat="1" ht="306" x14ac:dyDescent="0.3">
      <c r="A22" s="391">
        <v>8</v>
      </c>
      <c r="B22" s="392" t="s">
        <v>70</v>
      </c>
      <c r="C22" s="393" t="s">
        <v>58</v>
      </c>
      <c r="D22" s="391" t="s">
        <v>83</v>
      </c>
      <c r="E22" s="391" t="s">
        <v>60</v>
      </c>
      <c r="F22" s="400" t="s">
        <v>92</v>
      </c>
      <c r="G22" s="401" t="s">
        <v>93</v>
      </c>
      <c r="H22" s="403">
        <v>1</v>
      </c>
      <c r="I22" s="403">
        <v>1</v>
      </c>
      <c r="J22" s="404">
        <v>65890</v>
      </c>
      <c r="K22" s="404">
        <f t="shared" si="0"/>
        <v>65890</v>
      </c>
      <c r="L22" s="404">
        <f t="shared" si="1"/>
        <v>4941.75</v>
      </c>
      <c r="M22" s="404">
        <f t="shared" si="2"/>
        <v>17190.804989437063</v>
      </c>
      <c r="N22" s="405">
        <f t="shared" si="3"/>
        <v>88022.554989437063</v>
      </c>
      <c r="Q22" s="406">
        <f t="shared" si="4"/>
        <v>1</v>
      </c>
      <c r="R22" s="407">
        <f t="shared" si="4"/>
        <v>1</v>
      </c>
      <c r="S22" s="418">
        <v>48500</v>
      </c>
      <c r="T22" s="419">
        <v>51235.25</v>
      </c>
      <c r="U22" s="410">
        <f t="shared" si="5"/>
        <v>14654.75</v>
      </c>
      <c r="V22" s="411">
        <f t="shared" si="6"/>
        <v>0</v>
      </c>
      <c r="W22" s="412">
        <f t="shared" si="7"/>
        <v>0</v>
      </c>
      <c r="X22" s="412">
        <f t="shared" si="8"/>
        <v>51235.25</v>
      </c>
      <c r="Y22" s="413">
        <f t="shared" si="9"/>
        <v>68426.054989437063</v>
      </c>
      <c r="Z22" s="414">
        <f t="shared" si="10"/>
        <v>0.22241235392320535</v>
      </c>
      <c r="AA22" s="522">
        <f t="shared" si="11"/>
        <v>0.31525456058552703</v>
      </c>
      <c r="AB22" s="539">
        <f t="shared" si="12"/>
        <v>0</v>
      </c>
      <c r="AC22" s="794">
        <f>48500+2735.25</f>
        <v>51235.25</v>
      </c>
      <c r="AM22" s="758" t="s">
        <v>505</v>
      </c>
    </row>
    <row r="23" spans="1:39" s="394" customFormat="1" ht="84.75" customHeight="1" x14ac:dyDescent="0.3">
      <c r="A23" s="391">
        <v>9</v>
      </c>
      <c r="B23" s="392" t="s">
        <v>72</v>
      </c>
      <c r="C23" s="393" t="s">
        <v>58</v>
      </c>
      <c r="D23" s="391" t="s">
        <v>83</v>
      </c>
      <c r="E23" s="391" t="s">
        <v>60</v>
      </c>
      <c r="F23" s="400" t="s">
        <v>94</v>
      </c>
      <c r="G23" s="401" t="s">
        <v>95</v>
      </c>
      <c r="H23" s="403">
        <v>1</v>
      </c>
      <c r="I23" s="403">
        <v>1</v>
      </c>
      <c r="J23" s="404">
        <v>50000</v>
      </c>
      <c r="K23" s="404">
        <f t="shared" si="0"/>
        <v>50000</v>
      </c>
      <c r="L23" s="404">
        <f t="shared" si="1"/>
        <v>3750</v>
      </c>
      <c r="M23" s="404">
        <f t="shared" si="2"/>
        <v>13045.078911395556</v>
      </c>
      <c r="N23" s="405">
        <f t="shared" si="3"/>
        <v>66795.078911395554</v>
      </c>
      <c r="Q23" s="406">
        <f t="shared" si="4"/>
        <v>1</v>
      </c>
      <c r="R23" s="407">
        <f t="shared" si="4"/>
        <v>1</v>
      </c>
      <c r="S23" s="420">
        <v>41485</v>
      </c>
      <c r="T23" s="409">
        <f t="shared" ref="T23" si="13">IF(Q23&lt;&gt;"",Q23*R23*S23,"")</f>
        <v>41485</v>
      </c>
      <c r="U23" s="410">
        <f t="shared" si="5"/>
        <v>8515</v>
      </c>
      <c r="V23" s="411">
        <f t="shared" si="6"/>
        <v>0</v>
      </c>
      <c r="W23" s="412">
        <f t="shared" si="7"/>
        <v>0</v>
      </c>
      <c r="X23" s="412">
        <f t="shared" si="8"/>
        <v>41485</v>
      </c>
      <c r="Y23" s="413">
        <f t="shared" si="9"/>
        <v>54530.078911395554</v>
      </c>
      <c r="Z23" s="414">
        <f t="shared" si="10"/>
        <v>0.17030000000000001</v>
      </c>
      <c r="AA23" s="522">
        <f t="shared" si="11"/>
        <v>0.25526049830713404</v>
      </c>
      <c r="AB23" s="539">
        <f t="shared" si="12"/>
        <v>0</v>
      </c>
      <c r="AC23" s="794">
        <v>41485</v>
      </c>
      <c r="AD23" s="416">
        <v>20742.5</v>
      </c>
      <c r="AE23" s="416">
        <v>20742.5</v>
      </c>
      <c r="AH23" s="394" t="s">
        <v>401</v>
      </c>
      <c r="AI23" s="394" t="s">
        <v>402</v>
      </c>
      <c r="AM23" s="759" t="s">
        <v>508</v>
      </c>
    </row>
    <row r="24" spans="1:39" s="394" customFormat="1" ht="30" customHeight="1" thickBot="1" x14ac:dyDescent="0.4">
      <c r="A24" s="391">
        <v>10</v>
      </c>
      <c r="B24" s="392"/>
      <c r="C24" s="393" t="s">
        <v>75</v>
      </c>
      <c r="D24" s="391"/>
      <c r="E24" s="391"/>
      <c r="F24" s="864" t="s">
        <v>76</v>
      </c>
      <c r="G24" s="865"/>
      <c r="H24" s="865"/>
      <c r="I24" s="865"/>
      <c r="J24" s="865"/>
      <c r="K24" s="231">
        <f>SUM(K17:K23)</f>
        <v>203285</v>
      </c>
      <c r="L24" s="231">
        <f>SUM(L17:L23)</f>
        <v>15246.375</v>
      </c>
      <c r="M24" s="231">
        <f>SUM(M17:M23)</f>
        <v>53037.37733006091</v>
      </c>
      <c r="N24" s="232">
        <f>SUM(N17:N23)</f>
        <v>271568.75233006093</v>
      </c>
      <c r="Q24" s="866" t="s">
        <v>76</v>
      </c>
      <c r="R24" s="867"/>
      <c r="S24" s="867"/>
      <c r="T24" s="177">
        <f>SUM(T17:T23)</f>
        <v>162520.25</v>
      </c>
      <c r="U24" s="178">
        <f>SUM(U17:U23)</f>
        <v>40764.75</v>
      </c>
      <c r="V24" s="421"/>
      <c r="W24" s="175"/>
      <c r="X24" s="175">
        <f>SUM(X17:X23)</f>
        <v>162520.25</v>
      </c>
      <c r="Y24" s="179">
        <f t="shared" si="9"/>
        <v>215557.6273300609</v>
      </c>
      <c r="Z24" s="422"/>
      <c r="AA24" s="422"/>
      <c r="AB24" s="539"/>
      <c r="AC24" s="540"/>
      <c r="AM24" s="757"/>
    </row>
    <row r="25" spans="1:39" s="394" customFormat="1" ht="30" customHeight="1" x14ac:dyDescent="0.35">
      <c r="A25" s="391">
        <v>11</v>
      </c>
      <c r="B25" s="392">
        <v>2</v>
      </c>
      <c r="C25" s="393" t="s">
        <v>49</v>
      </c>
      <c r="D25" s="391"/>
      <c r="E25" s="391"/>
      <c r="F25" s="868" t="s">
        <v>96</v>
      </c>
      <c r="G25" s="869"/>
      <c r="H25" s="869"/>
      <c r="I25" s="869"/>
      <c r="J25" s="869"/>
      <c r="K25" s="869"/>
      <c r="L25" s="869"/>
      <c r="M25" s="869"/>
      <c r="N25" s="870"/>
      <c r="Q25" s="871" t="str">
        <f>IF(F25&lt;&gt;"",F25,"")</f>
        <v>MATERIAL GRÁFICO</v>
      </c>
      <c r="R25" s="872"/>
      <c r="S25" s="872"/>
      <c r="T25" s="872"/>
      <c r="U25" s="872"/>
      <c r="V25" s="872"/>
      <c r="W25" s="872"/>
      <c r="X25" s="872"/>
      <c r="Y25" s="873"/>
      <c r="Z25" s="396"/>
      <c r="AA25" s="396"/>
      <c r="AB25" s="539">
        <f t="shared" si="12"/>
        <v>0</v>
      </c>
      <c r="AC25" s="540"/>
      <c r="AM25" s="757"/>
    </row>
    <row r="26" spans="1:39" s="394" customFormat="1" ht="30" customHeight="1" x14ac:dyDescent="0.35">
      <c r="A26" s="423">
        <v>12</v>
      </c>
      <c r="B26" s="392" t="s">
        <v>97</v>
      </c>
      <c r="C26" s="424" t="s">
        <v>52</v>
      </c>
      <c r="D26" s="423"/>
      <c r="E26" s="423"/>
      <c r="F26" s="874"/>
      <c r="G26" s="875"/>
      <c r="H26" s="875"/>
      <c r="I26" s="875"/>
      <c r="J26" s="875"/>
      <c r="K26" s="875"/>
      <c r="L26" s="425" t="s">
        <v>54</v>
      </c>
      <c r="M26" s="425" t="s">
        <v>55</v>
      </c>
      <c r="N26" s="426" t="s">
        <v>29</v>
      </c>
      <c r="Q26" s="866" t="str">
        <f>IF(F26&lt;&gt;"",F26,"")</f>
        <v/>
      </c>
      <c r="R26" s="867"/>
      <c r="S26" s="867"/>
      <c r="T26" s="867"/>
      <c r="U26" s="867"/>
      <c r="V26" s="867"/>
      <c r="W26" s="867"/>
      <c r="X26" s="867"/>
      <c r="Y26" s="876"/>
      <c r="Z26" s="427" t="s">
        <v>56</v>
      </c>
      <c r="AA26" s="521" t="s">
        <v>40</v>
      </c>
      <c r="AB26" s="539">
        <f t="shared" si="12"/>
        <v>0</v>
      </c>
      <c r="AC26" s="540"/>
      <c r="AM26" s="757"/>
    </row>
    <row r="27" spans="1:39" s="394" customFormat="1" ht="40.5" customHeight="1" x14ac:dyDescent="0.3">
      <c r="A27" s="428">
        <v>13</v>
      </c>
      <c r="B27" s="392" t="s">
        <v>98</v>
      </c>
      <c r="C27" s="429" t="s">
        <v>58</v>
      </c>
      <c r="D27" s="428" t="s">
        <v>83</v>
      </c>
      <c r="E27" s="428" t="s">
        <v>60</v>
      </c>
      <c r="F27" s="400" t="s">
        <v>99</v>
      </c>
      <c r="G27" s="401" t="s">
        <v>100</v>
      </c>
      <c r="H27" s="403">
        <v>340</v>
      </c>
      <c r="I27" s="403">
        <v>1</v>
      </c>
      <c r="J27" s="404">
        <v>4.8</v>
      </c>
      <c r="K27" s="404">
        <f t="shared" ref="K27:K31" si="14">IF(F27&lt;&gt;"",H27*I27*J27,"")</f>
        <v>1632</v>
      </c>
      <c r="L27" s="404">
        <f t="shared" ref="L27:L31" si="15">IF(K27&lt;&gt;"",IF(D27="INTERNO",0,K27*$L$14),"")</f>
        <v>122.39999999999999</v>
      </c>
      <c r="M27" s="404">
        <f t="shared" ref="M27:M31" si="16">IF(K27&lt;&gt;"",IF(E27="FAT.OGGI",SUM(K27:L27)*(1/(1-$M$14)-1),L27*(1/(1-$M$14)-1)),"")</f>
        <v>425.79137566795094</v>
      </c>
      <c r="N27" s="405">
        <f t="shared" ref="N27:N31" si="17">SUM(K27:M27)</f>
        <v>2180.191375667951</v>
      </c>
      <c r="Q27" s="406">
        <f t="shared" ref="Q27:R29" si="18">IF(H27&lt;&gt;"",H27,"")</f>
        <v>340</v>
      </c>
      <c r="R27" s="407">
        <f t="shared" si="18"/>
        <v>1</v>
      </c>
      <c r="S27" s="408">
        <v>4</v>
      </c>
      <c r="T27" s="409">
        <v>415</v>
      </c>
      <c r="U27" s="410">
        <f t="shared" ref="U27:U31" si="19">IF(Q27&lt;&gt;"",K27-T27,"")</f>
        <v>1217</v>
      </c>
      <c r="V27" s="411">
        <f t="shared" ref="V27:V31" si="20">IF(Q27&lt;&gt;"",0%,"")</f>
        <v>0</v>
      </c>
      <c r="W27" s="412">
        <f t="shared" ref="W27:W31" si="21">IF(Q27&lt;&gt;"",V27*U27,"")</f>
        <v>0</v>
      </c>
      <c r="X27" s="412">
        <f t="shared" ref="X27:X31" si="22">IF(Q27&lt;&gt;"",W27+T27,"")</f>
        <v>415</v>
      </c>
      <c r="Y27" s="413">
        <f t="shared" ref="Y27:Y32" si="23">IF(Q27&lt;&gt;"",X27+M27,"")</f>
        <v>840.79137566795089</v>
      </c>
      <c r="Z27" s="414">
        <f t="shared" ref="Z27:Z31" si="24">IF(Q27&lt;&gt;"",U27/K27,"")</f>
        <v>0.74571078431372551</v>
      </c>
      <c r="AA27" s="522">
        <f>T27/$T$32</f>
        <v>0.40726202158979391</v>
      </c>
      <c r="AB27" s="539">
        <f t="shared" si="12"/>
        <v>0</v>
      </c>
      <c r="AC27" s="794">
        <f>415</f>
        <v>415</v>
      </c>
      <c r="AM27" s="759" t="s">
        <v>485</v>
      </c>
    </row>
    <row r="28" spans="1:39" s="394" customFormat="1" ht="40.5" customHeight="1" x14ac:dyDescent="0.3">
      <c r="A28" s="428">
        <v>14</v>
      </c>
      <c r="B28" s="392" t="s">
        <v>101</v>
      </c>
      <c r="C28" s="429" t="s">
        <v>58</v>
      </c>
      <c r="D28" s="428" t="s">
        <v>83</v>
      </c>
      <c r="E28" s="428" t="s">
        <v>60</v>
      </c>
      <c r="F28" s="400" t="s">
        <v>102</v>
      </c>
      <c r="G28" s="401" t="s">
        <v>386</v>
      </c>
      <c r="H28" s="403">
        <v>340</v>
      </c>
      <c r="I28" s="403">
        <v>1</v>
      </c>
      <c r="J28" s="404">
        <v>8.4</v>
      </c>
      <c r="K28" s="404">
        <f t="shared" si="14"/>
        <v>2856</v>
      </c>
      <c r="L28" s="404">
        <f t="shared" si="15"/>
        <v>214.2</v>
      </c>
      <c r="M28" s="404">
        <f t="shared" si="16"/>
        <v>745.13490741891405</v>
      </c>
      <c r="N28" s="405">
        <f t="shared" si="17"/>
        <v>3815.3349074189136</v>
      </c>
      <c r="Q28" s="406">
        <f t="shared" si="18"/>
        <v>340</v>
      </c>
      <c r="R28" s="407">
        <f t="shared" si="18"/>
        <v>1</v>
      </c>
      <c r="S28" s="408">
        <v>7</v>
      </c>
      <c r="T28" s="409"/>
      <c r="U28" s="410">
        <f t="shared" si="19"/>
        <v>2856</v>
      </c>
      <c r="V28" s="411">
        <f t="shared" si="20"/>
        <v>0</v>
      </c>
      <c r="W28" s="412">
        <f t="shared" si="21"/>
        <v>0</v>
      </c>
      <c r="X28" s="412">
        <f t="shared" si="22"/>
        <v>0</v>
      </c>
      <c r="Y28" s="413">
        <f t="shared" si="23"/>
        <v>745.13490741891405</v>
      </c>
      <c r="Z28" s="414">
        <f t="shared" si="24"/>
        <v>1</v>
      </c>
      <c r="AA28" s="522">
        <f>T28/$T$32</f>
        <v>0</v>
      </c>
      <c r="AB28" s="539">
        <f t="shared" si="12"/>
        <v>0</v>
      </c>
      <c r="AC28" s="540"/>
      <c r="AM28" s="757"/>
    </row>
    <row r="29" spans="1:39" s="394" customFormat="1" ht="40.5" customHeight="1" x14ac:dyDescent="0.3">
      <c r="A29" s="428">
        <v>15</v>
      </c>
      <c r="B29" s="392" t="s">
        <v>103</v>
      </c>
      <c r="C29" s="429" t="s">
        <v>58</v>
      </c>
      <c r="D29" s="428" t="s">
        <v>83</v>
      </c>
      <c r="E29" s="428" t="s">
        <v>60</v>
      </c>
      <c r="F29" s="400" t="s">
        <v>104</v>
      </c>
      <c r="G29" s="401" t="s">
        <v>105</v>
      </c>
      <c r="H29" s="403">
        <v>80</v>
      </c>
      <c r="I29" s="403">
        <v>1</v>
      </c>
      <c r="J29" s="404">
        <v>8.4</v>
      </c>
      <c r="K29" s="404">
        <f t="shared" si="14"/>
        <v>672</v>
      </c>
      <c r="L29" s="404">
        <f t="shared" si="15"/>
        <v>50.4</v>
      </c>
      <c r="M29" s="404">
        <f t="shared" si="16"/>
        <v>175.32586056915625</v>
      </c>
      <c r="N29" s="405">
        <f t="shared" si="17"/>
        <v>897.72586056915623</v>
      </c>
      <c r="Q29" s="406">
        <f t="shared" si="18"/>
        <v>80</v>
      </c>
      <c r="R29" s="407">
        <f t="shared" si="18"/>
        <v>1</v>
      </c>
      <c r="S29" s="408">
        <v>3.55</v>
      </c>
      <c r="T29" s="418">
        <v>604</v>
      </c>
      <c r="U29" s="410">
        <f t="shared" si="19"/>
        <v>68</v>
      </c>
      <c r="V29" s="411">
        <f t="shared" si="20"/>
        <v>0</v>
      </c>
      <c r="W29" s="412">
        <f t="shared" si="21"/>
        <v>0</v>
      </c>
      <c r="X29" s="412">
        <f t="shared" si="22"/>
        <v>604</v>
      </c>
      <c r="Y29" s="413">
        <f t="shared" si="23"/>
        <v>779.32586056915625</v>
      </c>
      <c r="Z29" s="414">
        <f t="shared" si="24"/>
        <v>0.10119047619047619</v>
      </c>
      <c r="AA29" s="522">
        <f>T29/$T$32</f>
        <v>0.59273797841020603</v>
      </c>
      <c r="AB29" s="539">
        <f t="shared" si="12"/>
        <v>0</v>
      </c>
      <c r="AC29" s="794">
        <v>604</v>
      </c>
      <c r="AM29" s="759" t="s">
        <v>509</v>
      </c>
    </row>
    <row r="30" spans="1:39" s="394" customFormat="1" ht="40.5" customHeight="1" x14ac:dyDescent="0.3">
      <c r="A30" s="423">
        <v>16</v>
      </c>
      <c r="B30" s="392" t="s">
        <v>106</v>
      </c>
      <c r="C30" s="424" t="s">
        <v>58</v>
      </c>
      <c r="D30" s="428" t="s">
        <v>83</v>
      </c>
      <c r="E30" s="428" t="s">
        <v>60</v>
      </c>
      <c r="F30" s="400" t="s">
        <v>395</v>
      </c>
      <c r="G30" s="401" t="s">
        <v>405</v>
      </c>
      <c r="H30" s="403">
        <v>340</v>
      </c>
      <c r="I30" s="403">
        <v>1</v>
      </c>
      <c r="J30" s="404">
        <v>2.98</v>
      </c>
      <c r="K30" s="404">
        <f>IF(F30&lt;&gt;"",H30*I30*J30,"")</f>
        <v>1013.2</v>
      </c>
      <c r="L30" s="404">
        <f>IF(K30&lt;&gt;"",IF(D30="INTERNO",0,K30*$L$14),"")</f>
        <v>75.989999999999995</v>
      </c>
      <c r="M30" s="404">
        <f>IF(K30&lt;&gt;"",IF(E30="FAT.OGGI",SUM(K30:L30)*(1/(1-$M$14)-1),L30*(1/(1-$M$14)-1)),"")</f>
        <v>264.34547906051955</v>
      </c>
      <c r="N30" s="405">
        <f>SUM(K30:M30)</f>
        <v>1353.5354790605197</v>
      </c>
      <c r="Q30" s="406">
        <f>IF(H30&lt;&gt;"",H30,"")</f>
        <v>340</v>
      </c>
      <c r="R30" s="407">
        <f>IF(I30&lt;&gt;"",I30,"")</f>
        <v>1</v>
      </c>
      <c r="S30" s="408">
        <v>2.25</v>
      </c>
      <c r="T30" s="418"/>
      <c r="U30" s="410">
        <f>IF(Q30&lt;&gt;"",K30-T30,"")</f>
        <v>1013.2</v>
      </c>
      <c r="V30" s="411">
        <f>IF(Q30&lt;&gt;"",0%,"")</f>
        <v>0</v>
      </c>
      <c r="W30" s="412">
        <f>IF(Q30&lt;&gt;"",V30*U30,"")</f>
        <v>0</v>
      </c>
      <c r="X30" s="412">
        <f>IF(Q30&lt;&gt;"",W30+T30,"")</f>
        <v>0</v>
      </c>
      <c r="Y30" s="413">
        <f>IF(Q30&lt;&gt;"",X30+M30,"")</f>
        <v>264.34547906051955</v>
      </c>
      <c r="Z30" s="414">
        <f>IF(Q30&lt;&gt;"",U30/K30,"")</f>
        <v>1</v>
      </c>
      <c r="AA30" s="430"/>
      <c r="AB30" s="539">
        <f t="shared" si="12"/>
        <v>0</v>
      </c>
      <c r="AC30" s="540"/>
      <c r="AM30" s="757"/>
    </row>
    <row r="31" spans="1:39" s="394" customFormat="1" ht="40.5" customHeight="1" x14ac:dyDescent="0.3">
      <c r="A31" s="428">
        <v>17</v>
      </c>
      <c r="B31" s="392" t="s">
        <v>107</v>
      </c>
      <c r="C31" s="429" t="s">
        <v>58</v>
      </c>
      <c r="D31" s="428" t="s">
        <v>83</v>
      </c>
      <c r="E31" s="428" t="s">
        <v>60</v>
      </c>
      <c r="F31" s="400" t="s">
        <v>395</v>
      </c>
      <c r="G31" s="401" t="s">
        <v>406</v>
      </c>
      <c r="H31" s="431">
        <v>340</v>
      </c>
      <c r="I31" s="403">
        <v>1</v>
      </c>
      <c r="J31" s="404">
        <v>2.98</v>
      </c>
      <c r="K31" s="404">
        <f t="shared" si="14"/>
        <v>1013.2</v>
      </c>
      <c r="L31" s="404">
        <f t="shared" si="15"/>
        <v>75.989999999999995</v>
      </c>
      <c r="M31" s="404">
        <f t="shared" si="16"/>
        <v>264.34547906051955</v>
      </c>
      <c r="N31" s="405">
        <f t="shared" si="17"/>
        <v>1353.5354790605197</v>
      </c>
      <c r="Q31" s="406">
        <f t="shared" ref="Q31" si="25">IF(H31&lt;&gt;"",H31,"")</f>
        <v>340</v>
      </c>
      <c r="R31" s="407">
        <v>1</v>
      </c>
      <c r="S31" s="418">
        <v>2.25</v>
      </c>
      <c r="T31" s="418"/>
      <c r="U31" s="410">
        <f t="shared" si="19"/>
        <v>1013.2</v>
      </c>
      <c r="V31" s="411">
        <f t="shared" si="20"/>
        <v>0</v>
      </c>
      <c r="W31" s="412">
        <f t="shared" si="21"/>
        <v>0</v>
      </c>
      <c r="X31" s="412">
        <f t="shared" si="22"/>
        <v>0</v>
      </c>
      <c r="Y31" s="413">
        <f>IF(Q31&lt;&gt;"",X31+M31,"")</f>
        <v>264.34547906051955</v>
      </c>
      <c r="Z31" s="414">
        <f t="shared" si="24"/>
        <v>1</v>
      </c>
      <c r="AA31" s="430"/>
      <c r="AB31" s="539">
        <f t="shared" si="12"/>
        <v>0</v>
      </c>
      <c r="AC31" s="540"/>
      <c r="AM31" s="757"/>
    </row>
    <row r="32" spans="1:39" s="394" customFormat="1" ht="38.25" customHeight="1" thickBot="1" x14ac:dyDescent="0.4">
      <c r="A32" s="432">
        <v>18</v>
      </c>
      <c r="B32" s="392"/>
      <c r="C32" s="433" t="s">
        <v>75</v>
      </c>
      <c r="D32" s="432"/>
      <c r="E32" s="432"/>
      <c r="F32" s="864" t="s">
        <v>76</v>
      </c>
      <c r="G32" s="865"/>
      <c r="H32" s="865"/>
      <c r="I32" s="865"/>
      <c r="J32" s="865"/>
      <c r="K32" s="231">
        <f>SUM(K27:K31)</f>
        <v>7186.4</v>
      </c>
      <c r="L32" s="231">
        <f>SUM(L27:L31)</f>
        <v>538.9799999999999</v>
      </c>
      <c r="M32" s="231">
        <f>SUM(M27:M31)</f>
        <v>1874.9431017770603</v>
      </c>
      <c r="N32" s="232">
        <f>SUM(N27:N31)</f>
        <v>9600.3231017770595</v>
      </c>
      <c r="Q32" s="866" t="s">
        <v>76</v>
      </c>
      <c r="R32" s="867"/>
      <c r="S32" s="867"/>
      <c r="T32" s="177">
        <f>SUM(T27:T31)</f>
        <v>1019</v>
      </c>
      <c r="U32" s="178">
        <f>SUM(U27:U31)</f>
        <v>6167.4</v>
      </c>
      <c r="V32" s="421"/>
      <c r="W32" s="175"/>
      <c r="X32" s="175">
        <f>SUM(X27:X31)</f>
        <v>1019</v>
      </c>
      <c r="Y32" s="179">
        <f t="shared" si="23"/>
        <v>2893.9431017770603</v>
      </c>
      <c r="Z32" s="422"/>
      <c r="AA32" s="422"/>
      <c r="AB32" s="539"/>
      <c r="AC32" s="540"/>
      <c r="AM32" s="757"/>
    </row>
    <row r="33" spans="1:39" ht="29.25" customHeight="1" thickBot="1" x14ac:dyDescent="0.45">
      <c r="A33" s="434">
        <v>19</v>
      </c>
      <c r="B33" s="435">
        <v>3</v>
      </c>
      <c r="C33" s="436" t="s">
        <v>49</v>
      </c>
      <c r="D33" s="434"/>
      <c r="E33" s="434"/>
      <c r="F33" s="877" t="s">
        <v>108</v>
      </c>
      <c r="G33" s="878"/>
      <c r="H33" s="878"/>
      <c r="I33" s="878"/>
      <c r="J33" s="878"/>
      <c r="K33" s="878"/>
      <c r="L33" s="878"/>
      <c r="M33" s="878"/>
      <c r="N33" s="879"/>
      <c r="Q33" s="880" t="str">
        <f>IF(F33&lt;&gt;"",F33,"")</f>
        <v>EQUIPE &amp; SERVIÇOS</v>
      </c>
      <c r="R33" s="881"/>
      <c r="S33" s="881"/>
      <c r="T33" s="881"/>
      <c r="U33" s="881"/>
      <c r="V33" s="881"/>
      <c r="W33" s="881"/>
      <c r="X33" s="881"/>
      <c r="Y33" s="882"/>
      <c r="AB33" s="539">
        <f t="shared" si="12"/>
        <v>0</v>
      </c>
      <c r="AC33" s="541"/>
    </row>
    <row r="34" spans="1:39" ht="29.25" customHeight="1" x14ac:dyDescent="0.4">
      <c r="A34" s="370">
        <v>20</v>
      </c>
      <c r="B34" s="435" t="s">
        <v>109</v>
      </c>
      <c r="C34" s="437" t="s">
        <v>52</v>
      </c>
      <c r="D34" s="370"/>
      <c r="E34" s="370"/>
      <c r="F34" s="886" t="s">
        <v>110</v>
      </c>
      <c r="G34" s="887"/>
      <c r="H34" s="887"/>
      <c r="I34" s="887"/>
      <c r="J34" s="887"/>
      <c r="K34" s="887"/>
      <c r="L34" s="438" t="s">
        <v>54</v>
      </c>
      <c r="M34" s="438" t="s">
        <v>55</v>
      </c>
      <c r="N34" s="439" t="s">
        <v>29</v>
      </c>
      <c r="Q34" s="888" t="str">
        <f>IF(F34&lt;&gt;"",F34,"")</f>
        <v>Equipe &amp; Serviços</v>
      </c>
      <c r="R34" s="875"/>
      <c r="S34" s="875"/>
      <c r="T34" s="875"/>
      <c r="U34" s="875"/>
      <c r="V34" s="875"/>
      <c r="W34" s="875"/>
      <c r="X34" s="875"/>
      <c r="Y34" s="889"/>
      <c r="Z34" s="440" t="s">
        <v>56</v>
      </c>
      <c r="AA34" s="523" t="s">
        <v>40</v>
      </c>
      <c r="AB34" s="539">
        <f t="shared" si="12"/>
        <v>0</v>
      </c>
      <c r="AC34" s="541"/>
    </row>
    <row r="35" spans="1:39" ht="90" x14ac:dyDescent="0.4">
      <c r="A35" s="441">
        <v>21</v>
      </c>
      <c r="B35" s="435" t="s">
        <v>111</v>
      </c>
      <c r="C35" s="442" t="s">
        <v>58</v>
      </c>
      <c r="D35" s="441" t="s">
        <v>83</v>
      </c>
      <c r="E35" s="441" t="s">
        <v>60</v>
      </c>
      <c r="F35" s="443" t="s">
        <v>112</v>
      </c>
      <c r="G35" s="401" t="s">
        <v>113</v>
      </c>
      <c r="H35" s="403">
        <v>1</v>
      </c>
      <c r="I35" s="403">
        <v>1</v>
      </c>
      <c r="J35" s="444">
        <v>6500</v>
      </c>
      <c r="K35" s="404">
        <f>IF(F35&lt;&gt;"",H35*I35*J35,"")</f>
        <v>6500</v>
      </c>
      <c r="L35" s="404">
        <f>IF(K35&lt;&gt;"",IF(D35="INTERNO",0,K35*$L$14),"")</f>
        <v>487.5</v>
      </c>
      <c r="M35" s="404">
        <f>IF(K35&lt;&gt;"",IF(E35="FAT.OGGI",SUM(K35:L35)*(1/(1-$M$14)-1),L35*(1/(1-$M$14)-1)),"")</f>
        <v>1695.8602584814223</v>
      </c>
      <c r="N35" s="445">
        <f t="shared" ref="N35:N48" si="26">SUM(K35:M35)</f>
        <v>8683.3602584814216</v>
      </c>
      <c r="Q35" s="446">
        <f t="shared" ref="Q35:R37" si="27">IF(H35&lt;&gt;"",H35,"")</f>
        <v>1</v>
      </c>
      <c r="R35" s="447">
        <v>0</v>
      </c>
      <c r="S35" s="448">
        <v>5000</v>
      </c>
      <c r="T35" s="408">
        <f>IF(Q35&lt;&gt;"",Q35*R35*S35,"")</f>
        <v>0</v>
      </c>
      <c r="U35" s="410">
        <f>IF(Q35&lt;&gt;"",K35-T35,"")</f>
        <v>6500</v>
      </c>
      <c r="V35" s="411">
        <f>IF(Q35&lt;&gt;"",0%,"")</f>
        <v>0</v>
      </c>
      <c r="W35" s="412">
        <f>IF(Q35&lt;&gt;"",V35*U35,"")</f>
        <v>0</v>
      </c>
      <c r="X35" s="412">
        <f>IF(Q35&lt;&gt;"",W35+T35,"")</f>
        <v>0</v>
      </c>
      <c r="Y35" s="413">
        <f>IF(Q35&lt;&gt;"",X35+M35,"")</f>
        <v>1695.8602584814223</v>
      </c>
      <c r="Z35" s="449">
        <f>IF(Q35&lt;&gt;"",U35/K35,"")</f>
        <v>1</v>
      </c>
      <c r="AA35" s="522">
        <f>T35/$T$24</f>
        <v>0</v>
      </c>
      <c r="AB35" s="539">
        <f t="shared" si="12"/>
        <v>0</v>
      </c>
      <c r="AC35" s="541"/>
    </row>
    <row r="36" spans="1:39" ht="90" x14ac:dyDescent="0.4">
      <c r="A36" s="441">
        <v>22</v>
      </c>
      <c r="B36" s="435" t="s">
        <v>114</v>
      </c>
      <c r="C36" s="442" t="s">
        <v>58</v>
      </c>
      <c r="D36" s="441" t="s">
        <v>83</v>
      </c>
      <c r="E36" s="441" t="s">
        <v>60</v>
      </c>
      <c r="F36" s="443" t="s">
        <v>112</v>
      </c>
      <c r="G36" s="401" t="s">
        <v>420</v>
      </c>
      <c r="H36" s="403">
        <v>1</v>
      </c>
      <c r="I36" s="403">
        <v>1</v>
      </c>
      <c r="J36" s="444">
        <v>3000</v>
      </c>
      <c r="K36" s="404">
        <f>IF(F36&lt;&gt;"",H36*I36*J36,"")</f>
        <v>3000</v>
      </c>
      <c r="L36" s="404">
        <f>IF(K36&lt;&gt;"",IF(D36="INTERNO",0,K36*$L$14),"")</f>
        <v>225</v>
      </c>
      <c r="M36" s="404">
        <f>IF(K36&lt;&gt;"",IF(E36="FAT.OGGI",SUM(K36:L36)*(1/(1-$M$14)-1),L36*(1/(1-$M$14)-1)),"")</f>
        <v>782.70473468373336</v>
      </c>
      <c r="N36" s="445">
        <f t="shared" ref="N36:N38" si="28">SUM(K36:M36)</f>
        <v>4007.7047346837335</v>
      </c>
      <c r="Q36" s="446">
        <f t="shared" si="27"/>
        <v>1</v>
      </c>
      <c r="R36" s="447">
        <f t="shared" si="27"/>
        <v>1</v>
      </c>
      <c r="S36" s="448">
        <v>2000</v>
      </c>
      <c r="T36" s="450"/>
      <c r="U36" s="410">
        <f>IF(Q36&lt;&gt;"",K36-T36,"")</f>
        <v>3000</v>
      </c>
      <c r="V36" s="411">
        <f>IF(Q36&lt;&gt;"",0%,"")</f>
        <v>0</v>
      </c>
      <c r="W36" s="412">
        <f>IF(Q36&lt;&gt;"",V36*U36,"")</f>
        <v>0</v>
      </c>
      <c r="X36" s="412">
        <f>IF(Q36&lt;&gt;"",W36+T36,"")</f>
        <v>0</v>
      </c>
      <c r="Y36" s="413">
        <f>IF(Q36&lt;&gt;"",X36+M36,"")</f>
        <v>782.70473468373336</v>
      </c>
      <c r="Z36" s="449">
        <f>IF(Q36&lt;&gt;"",U36/K36,"")</f>
        <v>1</v>
      </c>
      <c r="AA36" s="522">
        <f>T36/$T$24</f>
        <v>0</v>
      </c>
      <c r="AB36" s="539">
        <f t="shared" si="12"/>
        <v>0</v>
      </c>
      <c r="AC36" s="541"/>
    </row>
    <row r="37" spans="1:39" ht="90" x14ac:dyDescent="0.4">
      <c r="A37" s="441">
        <v>23</v>
      </c>
      <c r="B37" s="435" t="s">
        <v>115</v>
      </c>
      <c r="C37" s="442" t="s">
        <v>58</v>
      </c>
      <c r="D37" s="441" t="s">
        <v>83</v>
      </c>
      <c r="E37" s="441" t="s">
        <v>60</v>
      </c>
      <c r="F37" s="443" t="s">
        <v>112</v>
      </c>
      <c r="G37" s="401" t="s">
        <v>393</v>
      </c>
      <c r="H37" s="403">
        <v>1</v>
      </c>
      <c r="I37" s="403">
        <v>1</v>
      </c>
      <c r="J37" s="444">
        <v>3000</v>
      </c>
      <c r="K37" s="404">
        <f>IF(F37&lt;&gt;"",H37*I37*J37,"")</f>
        <v>3000</v>
      </c>
      <c r="L37" s="404">
        <f>IF(K37&lt;&gt;"",IF(D37="INTERNO",0,K37*$L$14),"")</f>
        <v>225</v>
      </c>
      <c r="M37" s="404">
        <f>IF(K37&lt;&gt;"",IF(E37="FAT.OGGI",SUM(K37:L37)*(1/(1-$M$14)-1),L37*(1/(1-$M$14)-1)),"")</f>
        <v>782.70473468373336</v>
      </c>
      <c r="N37" s="445">
        <f t="shared" si="28"/>
        <v>4007.7047346837335</v>
      </c>
      <c r="Q37" s="446">
        <f t="shared" si="27"/>
        <v>1</v>
      </c>
      <c r="R37" s="447">
        <v>0</v>
      </c>
      <c r="S37" s="448">
        <v>2000</v>
      </c>
      <c r="T37" s="450">
        <f>IF(Q37&lt;&gt;"",Q37*R37*S37,"")</f>
        <v>0</v>
      </c>
      <c r="U37" s="410">
        <f>IF(Q37&lt;&gt;"",K37-T37,"")</f>
        <v>3000</v>
      </c>
      <c r="V37" s="411">
        <f>IF(Q37&lt;&gt;"",0%,"")</f>
        <v>0</v>
      </c>
      <c r="W37" s="412">
        <f>IF(Q37&lt;&gt;"",V37*U37,"")</f>
        <v>0</v>
      </c>
      <c r="X37" s="412">
        <f>IF(Q37&lt;&gt;"",W37+T37,"")</f>
        <v>0</v>
      </c>
      <c r="Y37" s="413">
        <f>IF(Q37&lt;&gt;"",X37+M37,"")</f>
        <v>782.70473468373336</v>
      </c>
      <c r="Z37" s="449">
        <f>IF(Q37&lt;&gt;"",U37/K37,"")</f>
        <v>1</v>
      </c>
      <c r="AA37" s="522">
        <f>T37/$T$24</f>
        <v>0</v>
      </c>
      <c r="AB37" s="539">
        <f t="shared" si="12"/>
        <v>0</v>
      </c>
      <c r="AC37" s="541"/>
    </row>
    <row r="38" spans="1:39" ht="90" x14ac:dyDescent="0.4">
      <c r="A38" s="434">
        <v>24</v>
      </c>
      <c r="B38" s="435" t="s">
        <v>116</v>
      </c>
      <c r="C38" s="436" t="s">
        <v>58</v>
      </c>
      <c r="D38" s="434" t="s">
        <v>83</v>
      </c>
      <c r="E38" s="434" t="s">
        <v>60</v>
      </c>
      <c r="F38" s="443" t="s">
        <v>112</v>
      </c>
      <c r="G38" s="401" t="s">
        <v>387</v>
      </c>
      <c r="H38" s="451">
        <v>1</v>
      </c>
      <c r="I38" s="451">
        <v>1</v>
      </c>
      <c r="J38" s="404">
        <v>14559</v>
      </c>
      <c r="K38" s="452">
        <f t="shared" ref="K38" si="29">IF(F38&lt;&gt;"",H38*I38*J38,"")</f>
        <v>14559</v>
      </c>
      <c r="L38" s="452">
        <f t="shared" ref="L38" si="30">IF(K38&lt;&gt;"",IF(D38="INTERNO",0,K38*$L$14),"")</f>
        <v>1091.925</v>
      </c>
      <c r="M38" s="452">
        <f t="shared" ref="M38" si="31">IF(K38&lt;&gt;"",IF(E38="FAT.OGGI",SUM(K38:L38)*(1/(1-$M$14)-1),L38*(1/(1-$M$14)-1)),"")</f>
        <v>3798.4660774201575</v>
      </c>
      <c r="N38" s="445">
        <f t="shared" si="28"/>
        <v>19449.391077420158</v>
      </c>
      <c r="Q38" s="406">
        <f t="shared" ref="Q38" si="32">IF(H38&lt;&gt;"",H38,"")</f>
        <v>1</v>
      </c>
      <c r="R38" s="407">
        <f t="shared" ref="R38" si="33">IF(I38&lt;&gt;"",I38,"")</f>
        <v>1</v>
      </c>
      <c r="S38" s="418">
        <v>12787.75</v>
      </c>
      <c r="T38" s="408">
        <f t="shared" ref="T38" si="34">IF(Q38&lt;&gt;"",Q38*R38*S38,"")</f>
        <v>12787.75</v>
      </c>
      <c r="U38" s="410">
        <f t="shared" ref="U38" si="35">IF(Q38&lt;&gt;"",K38-T38,"")</f>
        <v>1771.25</v>
      </c>
      <c r="V38" s="411">
        <f t="shared" ref="V38" si="36">IF(Q38&lt;&gt;"",0%,"")</f>
        <v>0</v>
      </c>
      <c r="W38" s="412">
        <f t="shared" ref="W38" si="37">IF(Q38&lt;&gt;"",V38*U38,"")</f>
        <v>0</v>
      </c>
      <c r="X38" s="412">
        <f t="shared" ref="X38" si="38">IF(Q38&lt;&gt;"",W38+T38,"")</f>
        <v>12787.75</v>
      </c>
      <c r="Y38" s="413">
        <f t="shared" ref="Y38" si="39">IF(Q38&lt;&gt;"",X38+M38,"")</f>
        <v>16586.216077420158</v>
      </c>
      <c r="Z38" s="449">
        <f t="shared" ref="Z38" si="40">IF(Q38&lt;&gt;"",U38/K38,"")</f>
        <v>0.12166014149323442</v>
      </c>
      <c r="AA38" s="522">
        <f t="shared" ref="AA38" si="41">T38/$T$24</f>
        <v>7.8684040911824835E-2</v>
      </c>
      <c r="AB38" s="539">
        <f>X38-AC38</f>
        <v>0</v>
      </c>
      <c r="AC38" s="796">
        <v>12787.75</v>
      </c>
      <c r="AM38" s="759" t="s">
        <v>486</v>
      </c>
    </row>
    <row r="39" spans="1:39" ht="116.55" customHeight="1" x14ac:dyDescent="0.4">
      <c r="A39" s="370">
        <v>25</v>
      </c>
      <c r="B39" s="435" t="s">
        <v>369</v>
      </c>
      <c r="C39" s="437" t="s">
        <v>58</v>
      </c>
      <c r="D39" s="434" t="s">
        <v>83</v>
      </c>
      <c r="E39" s="434" t="s">
        <v>60</v>
      </c>
      <c r="F39" s="443" t="s">
        <v>371</v>
      </c>
      <c r="G39" s="453" t="s">
        <v>383</v>
      </c>
      <c r="H39" s="451">
        <v>1</v>
      </c>
      <c r="I39" s="451">
        <v>1</v>
      </c>
      <c r="J39" s="404">
        <v>5750</v>
      </c>
      <c r="K39" s="452">
        <f>IF(F39&lt;&gt;"",H39*I39*J39,"")</f>
        <v>5750</v>
      </c>
      <c r="L39" s="452">
        <f>IF(K39&lt;&gt;"",IF(D39="INTERNO",0,K39*$L$14),"")</f>
        <v>431.25</v>
      </c>
      <c r="M39" s="452">
        <f>IF(K39&lt;&gt;"",IF(E39="FAT.OGGI",SUM(K39:L39)*(1/(1-$M$14)-1),L39*(1/(1-$M$14)-1)),"")</f>
        <v>1500.1840748104889</v>
      </c>
      <c r="N39" s="445">
        <f>SUM(K39:M39)</f>
        <v>7681.4340748104887</v>
      </c>
      <c r="Q39" s="454">
        <f>IF(H39&lt;&gt;"",H39,"")</f>
        <v>1</v>
      </c>
      <c r="R39" s="455">
        <f>IF(I39&lt;&gt;"",I39,"")</f>
        <v>1</v>
      </c>
      <c r="S39" s="408">
        <v>5000</v>
      </c>
      <c r="T39" s="409">
        <f>IF(Q39&lt;&gt;"",Q39*R39*S39,"")</f>
        <v>5000</v>
      </c>
      <c r="U39" s="410">
        <f>IF(Q39&lt;&gt;"",K39-T39,"")</f>
        <v>750</v>
      </c>
      <c r="V39" s="411">
        <f>IF(Q39&lt;&gt;"",0%,"")</f>
        <v>0</v>
      </c>
      <c r="W39" s="412">
        <f>IF(Q39&lt;&gt;"",V39*U39,"")</f>
        <v>0</v>
      </c>
      <c r="X39" s="412">
        <f>IF(Q39&lt;&gt;"",W39+T39,"")</f>
        <v>5000</v>
      </c>
      <c r="Y39" s="413">
        <f>IF(Q39&lt;&gt;"",X39+M39,"")</f>
        <v>6500.1840748104887</v>
      </c>
      <c r="Z39" s="449">
        <f>IF(Q39&lt;&gt;"",U39/K39,"")</f>
        <v>0.13043478260869565</v>
      </c>
      <c r="AA39" s="522"/>
      <c r="AB39" s="539">
        <f t="shared" si="12"/>
        <v>0</v>
      </c>
      <c r="AC39" s="796">
        <v>5000</v>
      </c>
      <c r="AM39" s="759" t="s">
        <v>481</v>
      </c>
    </row>
    <row r="40" spans="1:39" ht="257.55" customHeight="1" x14ac:dyDescent="0.4">
      <c r="A40" s="456">
        <v>26</v>
      </c>
      <c r="B40" s="435" t="s">
        <v>397</v>
      </c>
      <c r="C40" s="457" t="s">
        <v>58</v>
      </c>
      <c r="D40" s="434" t="s">
        <v>83</v>
      </c>
      <c r="E40" s="434" t="s">
        <v>60</v>
      </c>
      <c r="F40" s="443" t="s">
        <v>384</v>
      </c>
      <c r="G40" s="453" t="s">
        <v>394</v>
      </c>
      <c r="H40" s="451">
        <v>1</v>
      </c>
      <c r="I40" s="451">
        <v>1</v>
      </c>
      <c r="J40" s="458">
        <v>3047.5</v>
      </c>
      <c r="K40" s="452">
        <f>IF(F40&lt;&gt;"",H40*I40*J40,"")</f>
        <v>3047.5</v>
      </c>
      <c r="L40" s="452">
        <f>IF(K40&lt;&gt;"",IF(D40="INTERNO",0,K40*$L$14),"")</f>
        <v>228.5625</v>
      </c>
      <c r="M40" s="452">
        <f>IF(K40&lt;&gt;"",IF(E40="FAT.OGGI",SUM(K40:L40)*(1/(1-$M$14)-1),L40*(1/(1-$M$14)-1)),"")</f>
        <v>795.09755964955912</v>
      </c>
      <c r="N40" s="445">
        <f>SUM(K40:M40)</f>
        <v>4071.1600596495591</v>
      </c>
      <c r="Q40" s="406">
        <f>IF(H40&lt;&gt;"",H40,"")</f>
        <v>1</v>
      </c>
      <c r="R40" s="407">
        <f>IF(I40&lt;&gt;"",I40,"")</f>
        <v>1</v>
      </c>
      <c r="S40" s="408">
        <v>2650</v>
      </c>
      <c r="T40" s="409">
        <f>IF(Q40&lt;&gt;"",Q40*R40*S40,"")</f>
        <v>2650</v>
      </c>
      <c r="U40" s="410">
        <f>IF(Q40&lt;&gt;"",K40-T40,"")</f>
        <v>397.5</v>
      </c>
      <c r="V40" s="411">
        <f>IF(Q40&lt;&gt;"",0%,"")</f>
        <v>0</v>
      </c>
      <c r="W40" s="412">
        <f>IF(Q40&lt;&gt;"",V40*U40,"")</f>
        <v>0</v>
      </c>
      <c r="X40" s="412">
        <f>IF(Q40&lt;&gt;"",W40+T40,"")</f>
        <v>2650</v>
      </c>
      <c r="Y40" s="413">
        <f>IF(Q40&lt;&gt;"",X40+M40,"")</f>
        <v>3445.0975596495591</v>
      </c>
      <c r="Z40" s="449">
        <f>IF(Q40&lt;&gt;"",U40/K40,"")</f>
        <v>0.13043478260869565</v>
      </c>
      <c r="AA40" s="522"/>
      <c r="AB40" s="539">
        <f t="shared" si="12"/>
        <v>0</v>
      </c>
      <c r="AC40" s="796">
        <v>2650</v>
      </c>
      <c r="AM40" s="759" t="s">
        <v>492</v>
      </c>
    </row>
    <row r="41" spans="1:39" ht="90" x14ac:dyDescent="0.4">
      <c r="A41" s="434">
        <v>27</v>
      </c>
      <c r="B41" s="435" t="s">
        <v>118</v>
      </c>
      <c r="C41" s="436" t="s">
        <v>58</v>
      </c>
      <c r="D41" s="434" t="s">
        <v>83</v>
      </c>
      <c r="E41" s="434" t="s">
        <v>60</v>
      </c>
      <c r="F41" s="443" t="s">
        <v>117</v>
      </c>
      <c r="G41" s="459" t="s">
        <v>396</v>
      </c>
      <c r="H41" s="460">
        <v>150</v>
      </c>
      <c r="I41" s="460">
        <v>1</v>
      </c>
      <c r="J41" s="461">
        <v>57</v>
      </c>
      <c r="K41" s="452">
        <f t="shared" ref="K41" si="42">IF(F41&lt;&gt;"",H41*I41*J41,"")</f>
        <v>8550</v>
      </c>
      <c r="L41" s="452">
        <f t="shared" ref="L41" si="43">IF(K41&lt;&gt;"",IF(D41="INTERNO",0,K41*$L$14),"")</f>
        <v>641.25</v>
      </c>
      <c r="M41" s="452">
        <f t="shared" ref="M41" si="44">IF(K41&lt;&gt;"",IF(E41="FAT.OGGI",SUM(K41:L41)*(1/(1-$M$14)-1),L41*(1/(1-$M$14)-1)),"")</f>
        <v>2230.70849384864</v>
      </c>
      <c r="N41" s="445">
        <f t="shared" ref="N41" si="45">SUM(K41:M41)</f>
        <v>11421.958493848641</v>
      </c>
      <c r="Q41" s="406">
        <v>1</v>
      </c>
      <c r="R41" s="407">
        <f t="shared" ref="R41" si="46">IF(I41&lt;&gt;"",I41,"")</f>
        <v>1</v>
      </c>
      <c r="S41" s="408">
        <v>7100</v>
      </c>
      <c r="T41" s="409">
        <v>7466.83</v>
      </c>
      <c r="U41" s="410">
        <f t="shared" ref="U41" si="47">IF(Q41&lt;&gt;"",K41-T41,"")</f>
        <v>1083.17</v>
      </c>
      <c r="V41" s="411">
        <f t="shared" ref="V41" si="48">IF(Q41&lt;&gt;"",0%,"")</f>
        <v>0</v>
      </c>
      <c r="W41" s="412">
        <f t="shared" ref="W41" si="49">IF(Q41&lt;&gt;"",V41*U41,"")</f>
        <v>0</v>
      </c>
      <c r="X41" s="412">
        <f t="shared" ref="X41" si="50">IF(Q41&lt;&gt;"",W41+T41,"")</f>
        <v>7466.83</v>
      </c>
      <c r="Y41" s="413">
        <f t="shared" ref="Y41" si="51">IF(Q41&lt;&gt;"",X41+M41,"")</f>
        <v>9697.5384938486404</v>
      </c>
      <c r="Z41" s="449">
        <f t="shared" ref="Z41" si="52">IF(Q41&lt;&gt;"",U41/K41,"")</f>
        <v>0.12668654970760235</v>
      </c>
      <c r="AA41" s="522">
        <f t="shared" ref="AA41" si="53">T41/$T$24</f>
        <v>4.5943997747972948E-2</v>
      </c>
      <c r="AB41" s="539">
        <f t="shared" si="12"/>
        <v>0</v>
      </c>
      <c r="AC41" s="796">
        <v>7466.83</v>
      </c>
      <c r="AM41" s="759" t="s">
        <v>482</v>
      </c>
    </row>
    <row r="42" spans="1:39" ht="90" x14ac:dyDescent="0.4">
      <c r="A42" s="434">
        <v>28</v>
      </c>
      <c r="B42" s="435" t="s">
        <v>120</v>
      </c>
      <c r="C42" s="436" t="s">
        <v>58</v>
      </c>
      <c r="D42" s="434" t="s">
        <v>83</v>
      </c>
      <c r="E42" s="434" t="s">
        <v>60</v>
      </c>
      <c r="F42" s="443" t="s">
        <v>448</v>
      </c>
      <c r="G42" s="401" t="s">
        <v>119</v>
      </c>
      <c r="H42" s="451">
        <v>1</v>
      </c>
      <c r="I42" s="451">
        <v>3</v>
      </c>
      <c r="J42" s="452">
        <v>6500</v>
      </c>
      <c r="K42" s="452">
        <f t="shared" ref="K42:K49" si="54">IF(F42&lt;&gt;"",H42*I42*J42,"")</f>
        <v>19500</v>
      </c>
      <c r="L42" s="452">
        <f t="shared" ref="L42:L49" si="55">IF(K42&lt;&gt;"",IF(D42="INTERNO",0,K42*$L$14),"")</f>
        <v>1462.5</v>
      </c>
      <c r="M42" s="452">
        <f t="shared" ref="M42:M49" si="56">IF(K42&lt;&gt;"",IF(E42="FAT.OGGI",SUM(K42:L42)*(1/(1-$M$14)-1),L42*(1/(1-$M$14)-1)),"")</f>
        <v>5087.5807754442667</v>
      </c>
      <c r="N42" s="445">
        <f>SUM(K42:M42)</f>
        <v>26050.080775444265</v>
      </c>
      <c r="Q42" s="406">
        <f t="shared" ref="Q42:R46" si="57">IF(H42&lt;&gt;"",H42,"")</f>
        <v>1</v>
      </c>
      <c r="R42" s="407">
        <v>1</v>
      </c>
      <c r="S42" s="418">
        <v>15500</v>
      </c>
      <c r="T42" s="408">
        <f t="shared" ref="T42:T49" si="58">IF(Q42&lt;&gt;"",Q42*R42*S42,"")</f>
        <v>15500</v>
      </c>
      <c r="U42" s="410">
        <f t="shared" ref="U42:U49" si="59">IF(Q42&lt;&gt;"",K42-T42,"")</f>
        <v>4000</v>
      </c>
      <c r="V42" s="411">
        <f t="shared" ref="V42:V49" si="60">IF(Q42&lt;&gt;"",0%,"")</f>
        <v>0</v>
      </c>
      <c r="W42" s="412">
        <f t="shared" ref="W42:W49" si="61">IF(Q42&lt;&gt;"",V42*U42,"")</f>
        <v>0</v>
      </c>
      <c r="X42" s="412">
        <f t="shared" ref="X42:X49" si="62">IF(Q42&lt;&gt;"",W42+T42,"")</f>
        <v>15500</v>
      </c>
      <c r="Y42" s="413">
        <f t="shared" ref="Y42:Y50" si="63">IF(Q42&lt;&gt;"",X42+M42,"")</f>
        <v>20587.580775444265</v>
      </c>
      <c r="Z42" s="449">
        <f t="shared" ref="Z42:Z49" si="64">IF(Q42&lt;&gt;"",U42/K42,"")</f>
        <v>0.20512820512820512</v>
      </c>
      <c r="AA42" s="522">
        <f t="shared" ref="AA42:AA49" si="65">T42/$T$24</f>
        <v>9.5372730475125414E-2</v>
      </c>
      <c r="AB42" s="539">
        <f t="shared" si="12"/>
        <v>0</v>
      </c>
      <c r="AC42" s="796">
        <v>15500</v>
      </c>
      <c r="AM42" s="759" t="s">
        <v>506</v>
      </c>
    </row>
    <row r="43" spans="1:39" ht="90" x14ac:dyDescent="0.4">
      <c r="A43" s="441">
        <v>29</v>
      </c>
      <c r="B43" s="435" t="s">
        <v>121</v>
      </c>
      <c r="C43" s="442" t="s">
        <v>58</v>
      </c>
      <c r="D43" s="441" t="s">
        <v>83</v>
      </c>
      <c r="E43" s="441" t="s">
        <v>60</v>
      </c>
      <c r="F43" s="443" t="s">
        <v>449</v>
      </c>
      <c r="G43" s="401" t="s">
        <v>450</v>
      </c>
      <c r="H43" s="451">
        <v>1</v>
      </c>
      <c r="I43" s="451">
        <v>3</v>
      </c>
      <c r="J43" s="452">
        <v>2500</v>
      </c>
      <c r="K43" s="452">
        <f>IF(F43&lt;&gt;"",H43*I43*J43,"")</f>
        <v>7500</v>
      </c>
      <c r="L43" s="452">
        <f>IF(K43&lt;&gt;"",IF(D43="INTERNO",0,K43*$L$14),"")</f>
        <v>562.5</v>
      </c>
      <c r="M43" s="452">
        <f>IF(K43&lt;&gt;"",IF(E43="FAT.OGGI",SUM(K43:L43)*(1/(1-$M$14)-1),L43*(1/(1-$M$14)-1)),"")</f>
        <v>1956.7618367093332</v>
      </c>
      <c r="N43" s="445">
        <f t="shared" si="26"/>
        <v>10019.261836709333</v>
      </c>
      <c r="Q43" s="406">
        <f>IF(H43&lt;&gt;"",H43,"")</f>
        <v>1</v>
      </c>
      <c r="R43" s="407">
        <v>1</v>
      </c>
      <c r="S43" s="418">
        <v>6300</v>
      </c>
      <c r="T43" s="408">
        <v>8300</v>
      </c>
      <c r="U43" s="410">
        <f>IF(Q43&lt;&gt;"",K43-T43,"")</f>
        <v>-800</v>
      </c>
      <c r="V43" s="411">
        <f>IF(Q43&lt;&gt;"",0%,"")</f>
        <v>0</v>
      </c>
      <c r="W43" s="412">
        <f>IF(Q43&lt;&gt;"",V43*U43,"")</f>
        <v>0</v>
      </c>
      <c r="X43" s="412">
        <f>IF(Q43&lt;&gt;"",W43+T43,"")</f>
        <v>8300</v>
      </c>
      <c r="Y43" s="413">
        <f>IF(Q43&lt;&gt;"",X43+M43,"")</f>
        <v>10256.761836709333</v>
      </c>
      <c r="Z43" s="449">
        <f>IF(Q43&lt;&gt;"",U43/K43,"")</f>
        <v>-0.10666666666666667</v>
      </c>
      <c r="AA43" s="522">
        <f t="shared" si="65"/>
        <v>5.1070558899583285E-2</v>
      </c>
      <c r="AB43" s="539">
        <f t="shared" si="12"/>
        <v>0</v>
      </c>
      <c r="AC43" s="796">
        <f>6300+2000</f>
        <v>8300</v>
      </c>
      <c r="AM43" s="759" t="s">
        <v>516</v>
      </c>
    </row>
    <row r="44" spans="1:39" ht="90" x14ac:dyDescent="0.4">
      <c r="A44" s="434">
        <v>30</v>
      </c>
      <c r="B44" s="435" t="s">
        <v>124</v>
      </c>
      <c r="C44" s="436" t="s">
        <v>58</v>
      </c>
      <c r="D44" s="434" t="s">
        <v>83</v>
      </c>
      <c r="E44" s="434" t="s">
        <v>60</v>
      </c>
      <c r="F44" s="443" t="s">
        <v>122</v>
      </c>
      <c r="G44" s="401" t="s">
        <v>123</v>
      </c>
      <c r="H44" s="451">
        <v>2</v>
      </c>
      <c r="I44" s="451">
        <v>1</v>
      </c>
      <c r="J44" s="404">
        <v>650</v>
      </c>
      <c r="K44" s="452">
        <f t="shared" ref="K44" si="66">IF(F44&lt;&gt;"",H44*I44*J44,"")</f>
        <v>1300</v>
      </c>
      <c r="L44" s="452">
        <f t="shared" ref="L44" si="67">IF(K44&lt;&gt;"",IF(D44="INTERNO",0,K44*$L$14),"")</f>
        <v>97.5</v>
      </c>
      <c r="M44" s="452">
        <f t="shared" ref="M44" si="68">IF(K44&lt;&gt;"",IF(E44="FAT.OGGI",SUM(K44:L44)*(1/(1-$M$14)-1),L44*(1/(1-$M$14)-1)),"")</f>
        <v>339.17205169628443</v>
      </c>
      <c r="N44" s="445">
        <f t="shared" ref="N44" si="69">SUM(K44:M44)</f>
        <v>1736.6720516962844</v>
      </c>
      <c r="Q44" s="406">
        <f t="shared" ref="Q44" si="70">IF(H44&lt;&gt;"",H44,"")</f>
        <v>2</v>
      </c>
      <c r="R44" s="407">
        <f t="shared" ref="R44" si="71">IF(I44&lt;&gt;"",I44,"")</f>
        <v>1</v>
      </c>
      <c r="S44" s="408">
        <v>400</v>
      </c>
      <c r="T44" s="418">
        <f t="shared" ref="T44" si="72">IF(Q44&lt;&gt;"",Q44*R44*S44,"")</f>
        <v>800</v>
      </c>
      <c r="U44" s="410">
        <f t="shared" ref="U44" si="73">IF(Q44&lt;&gt;"",K44-T44,"")</f>
        <v>500</v>
      </c>
      <c r="V44" s="411">
        <f t="shared" ref="V44" si="74">IF(Q44&lt;&gt;"",0%,"")</f>
        <v>0</v>
      </c>
      <c r="W44" s="412">
        <f t="shared" ref="W44" si="75">IF(Q44&lt;&gt;"",V44*U44,"")</f>
        <v>0</v>
      </c>
      <c r="X44" s="412">
        <f t="shared" ref="X44" si="76">IF(Q44&lt;&gt;"",W44+T44,"")</f>
        <v>800</v>
      </c>
      <c r="Y44" s="413">
        <f t="shared" ref="Y44" si="77">IF(Q44&lt;&gt;"",X44+M44,"")</f>
        <v>1139.1720516962844</v>
      </c>
      <c r="Z44" s="449">
        <f t="shared" ref="Z44" si="78">IF(Q44&lt;&gt;"",U44/K44,"")</f>
        <v>0.38461538461538464</v>
      </c>
      <c r="AA44" s="522">
        <f t="shared" ref="AA44" si="79">T44/$T$24</f>
        <v>4.9224635083935696E-3</v>
      </c>
      <c r="AB44" s="539">
        <f t="shared" si="12"/>
        <v>0</v>
      </c>
      <c r="AC44" s="796">
        <f>400+400</f>
        <v>800</v>
      </c>
      <c r="AM44" s="759" t="s">
        <v>507</v>
      </c>
    </row>
    <row r="45" spans="1:39" ht="90" x14ac:dyDescent="0.4">
      <c r="A45" s="434">
        <v>31</v>
      </c>
      <c r="B45" s="435" t="s">
        <v>127</v>
      </c>
      <c r="C45" s="436" t="s">
        <v>58</v>
      </c>
      <c r="D45" s="434" t="s">
        <v>83</v>
      </c>
      <c r="E45" s="434" t="s">
        <v>60</v>
      </c>
      <c r="F45" s="443" t="s">
        <v>125</v>
      </c>
      <c r="G45" s="401" t="s">
        <v>126</v>
      </c>
      <c r="H45" s="451">
        <v>2</v>
      </c>
      <c r="I45" s="451">
        <v>1</v>
      </c>
      <c r="J45" s="404">
        <v>75</v>
      </c>
      <c r="K45" s="452">
        <f t="shared" ref="K45" si="80">IF(F45&lt;&gt;"",H45*I45*J45,"")</f>
        <v>150</v>
      </c>
      <c r="L45" s="452">
        <f t="shared" ref="L45" si="81">IF(K45&lt;&gt;"",IF(D45="INTERNO",0,K45*$L$14),"")</f>
        <v>11.25</v>
      </c>
      <c r="M45" s="452">
        <f t="shared" ref="M45" si="82">IF(K45&lt;&gt;"",IF(E45="FAT.OGGI",SUM(K45:L45)*(1/(1-$M$14)-1),L45*(1/(1-$M$14)-1)),"")</f>
        <v>39.13523673418667</v>
      </c>
      <c r="N45" s="445">
        <f t="shared" ref="N45" si="83">SUM(K45:M45)</f>
        <v>200.38523673418666</v>
      </c>
      <c r="Q45" s="406">
        <f t="shared" ref="Q45" si="84">IF(H45&lt;&gt;"",H45,"")</f>
        <v>2</v>
      </c>
      <c r="R45" s="407">
        <f t="shared" ref="R45" si="85">IF(I45&lt;&gt;"",I45,"")</f>
        <v>1</v>
      </c>
      <c r="S45" s="408">
        <v>80</v>
      </c>
      <c r="T45" s="450">
        <f t="shared" ref="T45" si="86">IF(Q45&lt;&gt;"",Q45*R45*S45,"")</f>
        <v>160</v>
      </c>
      <c r="U45" s="410">
        <f t="shared" ref="U45" si="87">IF(Q45&lt;&gt;"",K45-T45,"")</f>
        <v>-10</v>
      </c>
      <c r="V45" s="411">
        <f t="shared" ref="V45" si="88">IF(Q45&lt;&gt;"",0%,"")</f>
        <v>0</v>
      </c>
      <c r="W45" s="412">
        <f t="shared" ref="W45" si="89">IF(Q45&lt;&gt;"",V45*U45,"")</f>
        <v>0</v>
      </c>
      <c r="X45" s="412">
        <f t="shared" ref="X45" si="90">IF(Q45&lt;&gt;"",W45+T45,"")</f>
        <v>160</v>
      </c>
      <c r="Y45" s="413">
        <f t="shared" ref="Y45" si="91">IF(Q45&lt;&gt;"",X45+M45,"")</f>
        <v>199.13523673418666</v>
      </c>
      <c r="Z45" s="449">
        <f t="shared" ref="Z45" si="92">IF(Q45&lt;&gt;"",U45/K45,"")</f>
        <v>-6.6666666666666666E-2</v>
      </c>
      <c r="AA45" s="524">
        <f t="shared" ref="AA45" si="93">T45/$T$24</f>
        <v>9.8449270167871384E-4</v>
      </c>
      <c r="AB45" s="539">
        <f t="shared" si="12"/>
        <v>0</v>
      </c>
      <c r="AC45" s="796">
        <v>160</v>
      </c>
      <c r="AM45" s="759" t="s">
        <v>503</v>
      </c>
    </row>
    <row r="46" spans="1:39" ht="90" x14ac:dyDescent="0.4">
      <c r="A46" s="434">
        <v>32</v>
      </c>
      <c r="B46" s="435" t="s">
        <v>370</v>
      </c>
      <c r="C46" s="436" t="s">
        <v>58</v>
      </c>
      <c r="D46" s="434" t="s">
        <v>83</v>
      </c>
      <c r="E46" s="434" t="s">
        <v>60</v>
      </c>
      <c r="F46" s="443" t="s">
        <v>128</v>
      </c>
      <c r="G46" s="401" t="s">
        <v>451</v>
      </c>
      <c r="H46" s="451">
        <v>1</v>
      </c>
      <c r="I46" s="451">
        <v>0</v>
      </c>
      <c r="J46" s="452">
        <v>2000</v>
      </c>
      <c r="K46" s="452">
        <f t="shared" si="54"/>
        <v>0</v>
      </c>
      <c r="L46" s="452">
        <f t="shared" si="55"/>
        <v>0</v>
      </c>
      <c r="M46" s="452">
        <f t="shared" si="56"/>
        <v>0</v>
      </c>
      <c r="N46" s="445">
        <f t="shared" si="26"/>
        <v>0</v>
      </c>
      <c r="Q46" s="406">
        <f t="shared" si="57"/>
        <v>1</v>
      </c>
      <c r="R46" s="407">
        <f t="shared" si="57"/>
        <v>0</v>
      </c>
      <c r="S46" s="408">
        <v>1800</v>
      </c>
      <c r="T46" s="408">
        <v>878</v>
      </c>
      <c r="U46" s="410">
        <f t="shared" si="59"/>
        <v>-878</v>
      </c>
      <c r="V46" s="411">
        <f t="shared" si="60"/>
        <v>0</v>
      </c>
      <c r="W46" s="412">
        <f t="shared" si="61"/>
        <v>0</v>
      </c>
      <c r="X46" s="412">
        <f t="shared" si="62"/>
        <v>878</v>
      </c>
      <c r="Y46" s="413">
        <f t="shared" si="63"/>
        <v>878</v>
      </c>
      <c r="Z46" s="462" t="e">
        <f t="shared" si="64"/>
        <v>#DIV/0!</v>
      </c>
      <c r="AA46" s="522">
        <f t="shared" si="65"/>
        <v>5.4024037004619429E-3</v>
      </c>
      <c r="AB46" s="539">
        <f t="shared" si="12"/>
        <v>0</v>
      </c>
      <c r="AC46" s="796">
        <v>878</v>
      </c>
      <c r="AM46" s="759" t="s">
        <v>489</v>
      </c>
    </row>
    <row r="47" spans="1:39" ht="90" x14ac:dyDescent="0.4">
      <c r="A47" s="441">
        <v>33</v>
      </c>
      <c r="B47" s="435" t="s">
        <v>129</v>
      </c>
      <c r="C47" s="442" t="s">
        <v>58</v>
      </c>
      <c r="D47" s="441" t="s">
        <v>83</v>
      </c>
      <c r="E47" s="441" t="s">
        <v>60</v>
      </c>
      <c r="F47" s="443" t="s">
        <v>130</v>
      </c>
      <c r="G47" s="401" t="s">
        <v>452</v>
      </c>
      <c r="H47" s="403">
        <v>6</v>
      </c>
      <c r="I47" s="403">
        <v>2</v>
      </c>
      <c r="J47" s="444">
        <v>340</v>
      </c>
      <c r="K47" s="452">
        <f t="shared" si="54"/>
        <v>4080</v>
      </c>
      <c r="L47" s="452">
        <f t="shared" si="55"/>
        <v>306</v>
      </c>
      <c r="M47" s="452">
        <f t="shared" si="56"/>
        <v>1064.4784391698772</v>
      </c>
      <c r="N47" s="445">
        <f t="shared" si="26"/>
        <v>5450.4784391698777</v>
      </c>
      <c r="Q47" s="406">
        <v>1</v>
      </c>
      <c r="R47" s="407">
        <v>12</v>
      </c>
      <c r="S47" s="408">
        <v>300</v>
      </c>
      <c r="T47" s="418">
        <f t="shared" si="58"/>
        <v>3600</v>
      </c>
      <c r="U47" s="410">
        <f t="shared" si="59"/>
        <v>480</v>
      </c>
      <c r="V47" s="411">
        <f t="shared" si="60"/>
        <v>0</v>
      </c>
      <c r="W47" s="412">
        <f t="shared" si="61"/>
        <v>0</v>
      </c>
      <c r="X47" s="412">
        <f t="shared" si="62"/>
        <v>3600</v>
      </c>
      <c r="Y47" s="413">
        <f t="shared" si="63"/>
        <v>4664.4784391698777</v>
      </c>
      <c r="Z47" s="449">
        <f t="shared" si="64"/>
        <v>0.11764705882352941</v>
      </c>
      <c r="AA47" s="522">
        <f t="shared" si="65"/>
        <v>2.2151085787771061E-2</v>
      </c>
      <c r="AB47" s="539">
        <f t="shared" si="12"/>
        <v>0</v>
      </c>
      <c r="AC47" s="796">
        <v>3600</v>
      </c>
      <c r="AM47" s="759" t="s">
        <v>490</v>
      </c>
    </row>
    <row r="48" spans="1:39" ht="90" x14ac:dyDescent="0.4">
      <c r="A48" s="441">
        <v>34</v>
      </c>
      <c r="B48" s="435" t="s">
        <v>131</v>
      </c>
      <c r="C48" s="442" t="s">
        <v>58</v>
      </c>
      <c r="D48" s="441" t="s">
        <v>83</v>
      </c>
      <c r="E48" s="441" t="s">
        <v>60</v>
      </c>
      <c r="F48" s="443" t="s">
        <v>132</v>
      </c>
      <c r="G48" s="401" t="s">
        <v>419</v>
      </c>
      <c r="H48" s="451">
        <v>1</v>
      </c>
      <c r="I48" s="451">
        <v>1</v>
      </c>
      <c r="J48" s="452">
        <v>15830</v>
      </c>
      <c r="K48" s="452">
        <f t="shared" si="54"/>
        <v>15830</v>
      </c>
      <c r="L48" s="452">
        <f t="shared" si="55"/>
        <v>1187.25</v>
      </c>
      <c r="M48" s="452">
        <f t="shared" si="56"/>
        <v>4130.0719833478324</v>
      </c>
      <c r="N48" s="445">
        <f t="shared" si="26"/>
        <v>21147.321983347832</v>
      </c>
      <c r="Q48" s="406">
        <f>IF(H48&lt;&gt;"",H48,"")</f>
        <v>1</v>
      </c>
      <c r="R48" s="407">
        <f>IF(I48&lt;&gt;"",I48,"")</f>
        <v>1</v>
      </c>
      <c r="S48" s="408">
        <v>12700</v>
      </c>
      <c r="T48" s="450">
        <f t="shared" si="58"/>
        <v>12700</v>
      </c>
      <c r="U48" s="410">
        <f t="shared" si="59"/>
        <v>3130</v>
      </c>
      <c r="V48" s="411">
        <f t="shared" si="60"/>
        <v>0</v>
      </c>
      <c r="W48" s="412">
        <f t="shared" si="61"/>
        <v>0</v>
      </c>
      <c r="X48" s="412">
        <f t="shared" si="62"/>
        <v>12700</v>
      </c>
      <c r="Y48" s="413">
        <f t="shared" si="63"/>
        <v>16830.071983347832</v>
      </c>
      <c r="Z48" s="449">
        <f t="shared" si="64"/>
        <v>0.19772583701831964</v>
      </c>
      <c r="AA48" s="522">
        <f t="shared" si="65"/>
        <v>7.8144108195747908E-2</v>
      </c>
      <c r="AB48" s="539">
        <f t="shared" si="12"/>
        <v>0</v>
      </c>
      <c r="AC48" s="796">
        <v>12700</v>
      </c>
      <c r="AM48" s="759" t="s">
        <v>484</v>
      </c>
    </row>
    <row r="49" spans="1:39" ht="90" x14ac:dyDescent="0.4">
      <c r="A49" s="370">
        <v>35</v>
      </c>
      <c r="B49" s="435" t="s">
        <v>133</v>
      </c>
      <c r="C49" s="437" t="s">
        <v>58</v>
      </c>
      <c r="D49" s="370" t="s">
        <v>83</v>
      </c>
      <c r="E49" s="370" t="s">
        <v>60</v>
      </c>
      <c r="F49" s="443" t="s">
        <v>134</v>
      </c>
      <c r="G49" s="401" t="s">
        <v>135</v>
      </c>
      <c r="H49" s="451">
        <v>1</v>
      </c>
      <c r="I49" s="451">
        <v>1</v>
      </c>
      <c r="J49" s="452">
        <v>2000</v>
      </c>
      <c r="K49" s="452">
        <f t="shared" si="54"/>
        <v>2000</v>
      </c>
      <c r="L49" s="452">
        <f t="shared" si="55"/>
        <v>150</v>
      </c>
      <c r="M49" s="452">
        <f t="shared" si="56"/>
        <v>521.8031564558222</v>
      </c>
      <c r="N49" s="445">
        <f>SUM(K49:M49)</f>
        <v>2671.8031564558223</v>
      </c>
      <c r="Q49" s="406">
        <f t="shared" ref="Q49" si="94">IF(H49&lt;&gt;"",H49,"")</f>
        <v>1</v>
      </c>
      <c r="R49" s="407">
        <v>1</v>
      </c>
      <c r="S49" s="408">
        <v>1350</v>
      </c>
      <c r="T49" s="450">
        <f t="shared" si="58"/>
        <v>1350</v>
      </c>
      <c r="U49" s="410">
        <f t="shared" si="59"/>
        <v>650</v>
      </c>
      <c r="V49" s="411">
        <f t="shared" si="60"/>
        <v>0</v>
      </c>
      <c r="W49" s="412">
        <f t="shared" si="61"/>
        <v>0</v>
      </c>
      <c r="X49" s="412">
        <f t="shared" si="62"/>
        <v>1350</v>
      </c>
      <c r="Y49" s="413">
        <f t="shared" si="63"/>
        <v>1871.8031564558223</v>
      </c>
      <c r="Z49" s="449">
        <f t="shared" si="64"/>
        <v>0.32500000000000001</v>
      </c>
      <c r="AA49" s="522">
        <f t="shared" si="65"/>
        <v>8.3066571704141483E-3</v>
      </c>
      <c r="AB49" s="539">
        <f t="shared" si="12"/>
        <v>0</v>
      </c>
      <c r="AC49" s="796">
        <v>1350</v>
      </c>
      <c r="AM49" s="759" t="s">
        <v>510</v>
      </c>
    </row>
    <row r="50" spans="1:39" ht="30" customHeight="1" thickBot="1" x14ac:dyDescent="0.45">
      <c r="A50" s="441">
        <v>36</v>
      </c>
      <c r="B50" s="435"/>
      <c r="C50" s="442" t="s">
        <v>75</v>
      </c>
      <c r="D50" s="441"/>
      <c r="E50" s="441"/>
      <c r="F50" s="893" t="s">
        <v>136</v>
      </c>
      <c r="G50" s="894"/>
      <c r="H50" s="894"/>
      <c r="I50" s="894"/>
      <c r="J50" s="894"/>
      <c r="K50" s="229">
        <f>SUM(K35:K49)</f>
        <v>94766.5</v>
      </c>
      <c r="L50" s="229">
        <f>SUM(L35:L49)</f>
        <v>7107.4875000000002</v>
      </c>
      <c r="M50" s="229">
        <f>SUM(M35:M49)</f>
        <v>24724.729413135341</v>
      </c>
      <c r="N50" s="230">
        <f>SUM(N35:N49)</f>
        <v>126598.71691313533</v>
      </c>
      <c r="Q50" s="866" t="s">
        <v>136</v>
      </c>
      <c r="R50" s="867"/>
      <c r="S50" s="867"/>
      <c r="T50" s="177">
        <f>SUM(T35:T49)</f>
        <v>71192.58</v>
      </c>
      <c r="U50" s="178">
        <f>SUM(U35:U49)</f>
        <v>23573.919999999998</v>
      </c>
      <c r="V50" s="411"/>
      <c r="W50" s="412"/>
      <c r="X50" s="175">
        <f>SUM(X35:X49)</f>
        <v>71192.58</v>
      </c>
      <c r="Y50" s="179">
        <f t="shared" si="63"/>
        <v>95917.309413135343</v>
      </c>
      <c r="Z50" s="463"/>
      <c r="AA50" s="522"/>
      <c r="AB50" s="539"/>
      <c r="AC50" s="541"/>
    </row>
    <row r="51" spans="1:39" ht="29.25" customHeight="1" thickBot="1" x14ac:dyDescent="0.45">
      <c r="A51" s="434">
        <v>37</v>
      </c>
      <c r="B51" s="435" t="s">
        <v>137</v>
      </c>
      <c r="C51" s="436" t="s">
        <v>52</v>
      </c>
      <c r="D51" s="434"/>
      <c r="E51" s="434"/>
      <c r="F51" s="886" t="s">
        <v>138</v>
      </c>
      <c r="G51" s="887"/>
      <c r="H51" s="887"/>
      <c r="I51" s="887"/>
      <c r="J51" s="887"/>
      <c r="K51" s="887"/>
      <c r="L51" s="438" t="s">
        <v>54</v>
      </c>
      <c r="M51" s="438" t="s">
        <v>55</v>
      </c>
      <c r="N51" s="439" t="s">
        <v>29</v>
      </c>
      <c r="Q51" s="888" t="str">
        <f>IF(F51&lt;&gt;"",F51,"")</f>
        <v>Taxas</v>
      </c>
      <c r="R51" s="875"/>
      <c r="S51" s="875"/>
      <c r="T51" s="875"/>
      <c r="U51" s="875"/>
      <c r="V51" s="875"/>
      <c r="W51" s="875"/>
      <c r="X51" s="875"/>
      <c r="Y51" s="889"/>
      <c r="Z51" s="464" t="s">
        <v>56</v>
      </c>
      <c r="AA51" s="523" t="s">
        <v>40</v>
      </c>
      <c r="AB51" s="539">
        <f t="shared" si="12"/>
        <v>0</v>
      </c>
      <c r="AC51" s="541"/>
    </row>
    <row r="52" spans="1:39" ht="90" x14ac:dyDescent="0.4">
      <c r="A52" s="370">
        <v>38</v>
      </c>
      <c r="B52" s="435" t="s">
        <v>139</v>
      </c>
      <c r="C52" s="437" t="s">
        <v>58</v>
      </c>
      <c r="D52" s="370" t="s">
        <v>83</v>
      </c>
      <c r="E52" s="370" t="s">
        <v>60</v>
      </c>
      <c r="F52" s="443" t="s">
        <v>140</v>
      </c>
      <c r="G52" s="459" t="s">
        <v>141</v>
      </c>
      <c r="H52" s="403">
        <v>1</v>
      </c>
      <c r="I52" s="460">
        <v>1</v>
      </c>
      <c r="J52" s="404">
        <v>1658.94</v>
      </c>
      <c r="K52" s="452">
        <f>IF(F52&lt;&gt;"",H52*I52*J52,"")</f>
        <v>1658.94</v>
      </c>
      <c r="L52" s="452">
        <f>IF(K52&lt;&gt;"",IF(D52="INTERNO",0,K52*$L$14),"")</f>
        <v>124.4205</v>
      </c>
      <c r="M52" s="452">
        <f>IF(K52&lt;&gt;"",IF(E52="FAT.OGGI",SUM(K52:L52)*(1/(1-$M$14)-1),L52*(1/(1-$M$14)-1)),"")</f>
        <v>432.82006418541084</v>
      </c>
      <c r="N52" s="445">
        <f>SUM(K52:M52)</f>
        <v>2216.1805641854107</v>
      </c>
      <c r="Q52" s="406">
        <f>IF(H52&lt;&gt;"",H52,"")</f>
        <v>1</v>
      </c>
      <c r="R52" s="407">
        <f>IF(I52&lt;&gt;"",I52,"")</f>
        <v>1</v>
      </c>
      <c r="S52" s="408">
        <v>1658.94</v>
      </c>
      <c r="T52" s="409">
        <v>1658.97</v>
      </c>
      <c r="U52" s="410">
        <f>IF(Q52&lt;&gt;"",K52-T52,"")</f>
        <v>-2.9999999999972715E-2</v>
      </c>
      <c r="V52" s="411">
        <f>IF(Q52&lt;&gt;"",0%,"")</f>
        <v>0</v>
      </c>
      <c r="W52" s="412">
        <f>IF(Q52&lt;&gt;"",V52*U52,"")</f>
        <v>0</v>
      </c>
      <c r="X52" s="412">
        <f>IF(Q52&lt;&gt;"",W52+T52,"")</f>
        <v>1658.97</v>
      </c>
      <c r="Y52" s="413">
        <f>IF(Q52&lt;&gt;"",X52+M52,"")</f>
        <v>2091.7900641854108</v>
      </c>
      <c r="Z52" s="465">
        <f t="shared" ref="Z52:Z60" si="95">IF(Q52&lt;&gt;"",U52/K52,"")</f>
        <v>-1.8083836666770776E-5</v>
      </c>
      <c r="AA52" s="525">
        <f>T52/$T$55</f>
        <v>0.24359469456138211</v>
      </c>
      <c r="AB52" s="539">
        <f t="shared" si="12"/>
        <v>0</v>
      </c>
      <c r="AC52" s="796">
        <v>1658.97</v>
      </c>
      <c r="AM52" s="759" t="s">
        <v>496</v>
      </c>
    </row>
    <row r="53" spans="1:39" ht="76.95" customHeight="1" x14ac:dyDescent="0.4">
      <c r="A53" s="370">
        <v>39</v>
      </c>
      <c r="B53" s="435" t="s">
        <v>142</v>
      </c>
      <c r="C53" s="437" t="s">
        <v>58</v>
      </c>
      <c r="D53" s="370" t="s">
        <v>83</v>
      </c>
      <c r="E53" s="370" t="s">
        <v>60</v>
      </c>
      <c r="F53" s="443" t="s">
        <v>143</v>
      </c>
      <c r="G53" s="453" t="s">
        <v>144</v>
      </c>
      <c r="H53" s="403">
        <v>1</v>
      </c>
      <c r="I53" s="467">
        <v>1</v>
      </c>
      <c r="J53" s="444">
        <v>5296</v>
      </c>
      <c r="K53" s="452">
        <f>IF(F53&lt;&gt;"",H53*I53*J53,"")</f>
        <v>5296</v>
      </c>
      <c r="L53" s="452">
        <f>IF(K53&lt;&gt;"",IF(D53="INTERNO",0,K53*$L$14),"")</f>
        <v>397.2</v>
      </c>
      <c r="M53" s="452">
        <f>IF(K53&lt;&gt;"",IF(E53="FAT.OGGI",SUM(K53:L53)*(1/(1-$M$14)-1),L53*(1/(1-$M$14)-1)),"")</f>
        <v>1381.7347582950172</v>
      </c>
      <c r="N53" s="445">
        <f>SUM(K53:M53)</f>
        <v>7074.9347582950168</v>
      </c>
      <c r="Q53" s="406">
        <f>IF(H53&lt;&gt;"",H53,"")</f>
        <v>1</v>
      </c>
      <c r="R53" s="407">
        <f>IF(I53&lt;&gt;"",I53,"")</f>
        <v>1</v>
      </c>
      <c r="S53" s="468">
        <v>3000</v>
      </c>
      <c r="T53" s="408">
        <v>3243.55</v>
      </c>
      <c r="U53" s="410">
        <f>IF(Q53&lt;&gt;"",K53-T53,"")</f>
        <v>2052.4499999999998</v>
      </c>
      <c r="V53" s="411">
        <f>IF(Q53&lt;&gt;"",0%,"")</f>
        <v>0</v>
      </c>
      <c r="W53" s="412">
        <f>IF(Q53&lt;&gt;"",V53*U53,"")</f>
        <v>0</v>
      </c>
      <c r="X53" s="412">
        <f>IF(Q53&lt;&gt;"",W53+T53,"")</f>
        <v>3243.55</v>
      </c>
      <c r="Y53" s="413">
        <f>IF(Q53&lt;&gt;"",X53+M53,"")</f>
        <v>4625.2847582950171</v>
      </c>
      <c r="Z53" s="449">
        <f t="shared" si="95"/>
        <v>0.38754720543806642</v>
      </c>
      <c r="AA53" s="525">
        <f>T53/$T$55</f>
        <v>0.4762663408889678</v>
      </c>
      <c r="AB53" s="539">
        <f t="shared" si="12"/>
        <v>0</v>
      </c>
      <c r="AC53" s="796">
        <v>3243.55</v>
      </c>
      <c r="AM53" s="759" t="s">
        <v>493</v>
      </c>
    </row>
    <row r="54" spans="1:39" ht="90" x14ac:dyDescent="0.4">
      <c r="A54" s="370">
        <v>40</v>
      </c>
      <c r="B54" s="435" t="s">
        <v>145</v>
      </c>
      <c r="C54" s="437" t="s">
        <v>58</v>
      </c>
      <c r="D54" s="370" t="s">
        <v>83</v>
      </c>
      <c r="E54" s="370" t="s">
        <v>60</v>
      </c>
      <c r="F54" s="443" t="s">
        <v>146</v>
      </c>
      <c r="G54" s="401" t="s">
        <v>147</v>
      </c>
      <c r="H54" s="403">
        <v>2</v>
      </c>
      <c r="I54" s="467">
        <v>5</v>
      </c>
      <c r="J54" s="444">
        <f>S54*20%+S54</f>
        <v>2520</v>
      </c>
      <c r="K54" s="452">
        <f>IF(F54&lt;&gt;"",H54*I54*J54,"")</f>
        <v>25200</v>
      </c>
      <c r="L54" s="452">
        <f>IF(K54&lt;&gt;"",IF(D54="INTERNO",0,K54*$L$14),"")</f>
        <v>1890</v>
      </c>
      <c r="M54" s="452">
        <f>IF(K54&lt;&gt;"",IF(E54="FAT.OGGI",SUM(K54:L54)*(1/(1-$M$14)-1),L54*(1/(1-$M$14)-1)),"")</f>
        <v>6574.7197713433598</v>
      </c>
      <c r="N54" s="445">
        <f>SUM(K54:M54)</f>
        <v>33664.719771343356</v>
      </c>
      <c r="Q54" s="406">
        <v>1</v>
      </c>
      <c r="R54" s="407">
        <v>1</v>
      </c>
      <c r="S54" s="468">
        <v>2100</v>
      </c>
      <c r="T54" s="408">
        <v>1907.85</v>
      </c>
      <c r="U54" s="410">
        <f>IF(Q54&lt;&gt;"",K54-T54,"")</f>
        <v>23292.15</v>
      </c>
      <c r="V54" s="411">
        <f>IF(Q54&lt;&gt;"",0%,"")</f>
        <v>0</v>
      </c>
      <c r="W54" s="412">
        <f>IF(Q54&lt;&gt;"",V54*U54,"")</f>
        <v>0</v>
      </c>
      <c r="X54" s="412">
        <f>IF(Q54&lt;&gt;"",W54+T54,"")</f>
        <v>1907.85</v>
      </c>
      <c r="Y54" s="413">
        <f>IF(Q54&lt;&gt;"",X54+M54,"")</f>
        <v>8482.5697713433601</v>
      </c>
      <c r="Z54" s="449">
        <f t="shared" ref="Z54" si="96">IF(Q54&lt;&gt;"",U54/K54,"")</f>
        <v>0.92429166666666673</v>
      </c>
      <c r="AA54" s="525">
        <f>T54/$T$55</f>
        <v>0.28013896454964998</v>
      </c>
      <c r="AB54" s="539">
        <f t="shared" si="12"/>
        <v>0</v>
      </c>
      <c r="AC54" s="796">
        <v>1907.85</v>
      </c>
      <c r="AM54" s="759" t="s">
        <v>493</v>
      </c>
    </row>
    <row r="55" spans="1:39" ht="25.5" customHeight="1" thickBot="1" x14ac:dyDescent="0.45">
      <c r="A55" s="370">
        <v>41</v>
      </c>
      <c r="B55" s="435"/>
      <c r="C55" s="437" t="s">
        <v>75</v>
      </c>
      <c r="D55" s="370"/>
      <c r="E55" s="370"/>
      <c r="F55" s="864" t="s">
        <v>149</v>
      </c>
      <c r="G55" s="865"/>
      <c r="H55" s="865"/>
      <c r="I55" s="865"/>
      <c r="J55" s="865"/>
      <c r="K55" s="231">
        <f>SUM(K52:K54)</f>
        <v>32154.940000000002</v>
      </c>
      <c r="L55" s="231">
        <f>SUM(L52:L54)</f>
        <v>2411.6205</v>
      </c>
      <c r="M55" s="231">
        <f>SUM(M52:M54)</f>
        <v>8389.2745938237877</v>
      </c>
      <c r="N55" s="232">
        <f>SUM(N52:N54)</f>
        <v>42955.835093823785</v>
      </c>
      <c r="Q55" s="866" t="s">
        <v>149</v>
      </c>
      <c r="R55" s="867"/>
      <c r="S55" s="867"/>
      <c r="T55" s="177">
        <f>SUM(T52:T54)</f>
        <v>6810.3700000000008</v>
      </c>
      <c r="U55" s="178">
        <f>SUM(U52:U54)</f>
        <v>25344.57</v>
      </c>
      <c r="V55" s="411"/>
      <c r="W55" s="412"/>
      <c r="X55" s="175">
        <f>SUM(X52:X54)</f>
        <v>6810.3700000000008</v>
      </c>
      <c r="Y55" s="179">
        <f>IF(Q55&lt;&gt;"",X55+M55,"")</f>
        <v>15199.644593823788</v>
      </c>
      <c r="Z55" s="449"/>
      <c r="AA55" s="525"/>
      <c r="AB55" s="539"/>
      <c r="AC55" s="541"/>
    </row>
    <row r="56" spans="1:39" ht="54.6" thickBot="1" x14ac:dyDescent="0.45">
      <c r="A56" s="370">
        <v>42</v>
      </c>
      <c r="B56" s="435">
        <v>4</v>
      </c>
      <c r="C56" s="437" t="s">
        <v>49</v>
      </c>
      <c r="D56" s="370"/>
      <c r="E56" s="370"/>
      <c r="F56" s="895" t="s">
        <v>374</v>
      </c>
      <c r="G56" s="896"/>
      <c r="H56" s="896"/>
      <c r="I56" s="896"/>
      <c r="J56" s="896"/>
      <c r="K56" s="896"/>
      <c r="L56" s="896"/>
      <c r="M56" s="896"/>
      <c r="N56" s="897"/>
      <c r="Q56" s="871" t="str">
        <f>IF(F56&lt;&gt;"",F56,"")</f>
        <v>ATRAÇÃO FESTA</v>
      </c>
      <c r="R56" s="872"/>
      <c r="S56" s="872"/>
      <c r="T56" s="872"/>
      <c r="U56" s="872"/>
      <c r="V56" s="872"/>
      <c r="W56" s="872"/>
      <c r="X56" s="872"/>
      <c r="Y56" s="873"/>
      <c r="Z56" s="449"/>
      <c r="AA56" s="525"/>
      <c r="AB56" s="539">
        <f t="shared" si="12"/>
        <v>0</v>
      </c>
      <c r="AC56" s="541"/>
    </row>
    <row r="57" spans="1:39" ht="72" x14ac:dyDescent="0.4">
      <c r="A57" s="370">
        <v>43</v>
      </c>
      <c r="B57" s="435" t="s">
        <v>373</v>
      </c>
      <c r="C57" s="437" t="s">
        <v>52</v>
      </c>
      <c r="D57" s="370"/>
      <c r="E57" s="370"/>
      <c r="F57" s="886"/>
      <c r="G57" s="887"/>
      <c r="H57" s="887"/>
      <c r="I57" s="887"/>
      <c r="J57" s="887"/>
      <c r="K57" s="887"/>
      <c r="L57" s="469" t="s">
        <v>54</v>
      </c>
      <c r="M57" s="469" t="s">
        <v>55</v>
      </c>
      <c r="N57" s="470" t="s">
        <v>29</v>
      </c>
      <c r="Q57" s="866" t="str">
        <f>IF(F57&lt;&gt;"",F57,"")</f>
        <v/>
      </c>
      <c r="R57" s="867"/>
      <c r="S57" s="867"/>
      <c r="T57" s="867"/>
      <c r="U57" s="867"/>
      <c r="V57" s="867"/>
      <c r="W57" s="867"/>
      <c r="X57" s="867"/>
      <c r="Y57" s="876"/>
      <c r="Z57" s="471" t="s">
        <v>56</v>
      </c>
      <c r="AA57" s="526" t="s">
        <v>40</v>
      </c>
      <c r="AB57" s="539">
        <f t="shared" si="12"/>
        <v>0</v>
      </c>
      <c r="AC57" s="541"/>
    </row>
    <row r="58" spans="1:39" ht="98.1" customHeight="1" x14ac:dyDescent="0.4">
      <c r="A58" s="370">
        <v>44</v>
      </c>
      <c r="B58" s="435" t="s">
        <v>375</v>
      </c>
      <c r="C58" s="437" t="s">
        <v>58</v>
      </c>
      <c r="D58" s="370" t="s">
        <v>83</v>
      </c>
      <c r="E58" s="370" t="s">
        <v>60</v>
      </c>
      <c r="F58" s="472" t="s">
        <v>171</v>
      </c>
      <c r="G58" s="473" t="s">
        <v>366</v>
      </c>
      <c r="H58" s="474">
        <v>1</v>
      </c>
      <c r="I58" s="474">
        <v>1</v>
      </c>
      <c r="J58" s="475">
        <v>14850</v>
      </c>
      <c r="K58" s="476">
        <f t="shared" ref="K58" si="97">IF(F58&lt;&gt;"",H58*I58*J58,"")</f>
        <v>14850</v>
      </c>
      <c r="L58" s="476">
        <f t="shared" ref="L58" si="98">IF(K58&lt;&gt;"",IF(D58="INTERNO",0,K58*$L$14),"")</f>
        <v>1113.75</v>
      </c>
      <c r="M58" s="476">
        <f t="shared" ref="M58" si="99">IF(K58&lt;&gt;"",IF(E58="FAT.OGGI",SUM(K58:L58)*(1/(1-$M$14)-1),L58*(1/(1-$M$14)-1)),"")</f>
        <v>3874.38843668448</v>
      </c>
      <c r="N58" s="477">
        <f>SUM(K58:M58)</f>
        <v>19838.13843668448</v>
      </c>
      <c r="Q58" s="478">
        <f t="shared" ref="Q58:R60" si="100">IF(H58&lt;&gt;"",H58,"")</f>
        <v>1</v>
      </c>
      <c r="R58" s="479">
        <f t="shared" si="100"/>
        <v>1</v>
      </c>
      <c r="S58" s="480">
        <v>13500</v>
      </c>
      <c r="T58" s="481">
        <f>IF(Q58&lt;&gt;"",Q58*R58*S58,"")</f>
        <v>13500</v>
      </c>
      <c r="U58" s="482">
        <f>IF(Q58&lt;&gt;"",K58-T58,"")</f>
        <v>1350</v>
      </c>
      <c r="V58" s="483">
        <f>IF(Q58&lt;&gt;"",0%,"")</f>
        <v>0</v>
      </c>
      <c r="W58" s="484">
        <f>IF(Q58&lt;&gt;"",V58*U58,"")</f>
        <v>0</v>
      </c>
      <c r="X58" s="484">
        <f>IF(Q58&lt;&gt;"",W58+T58,"")</f>
        <v>13500</v>
      </c>
      <c r="Y58" s="485">
        <f>IF(Q58&lt;&gt;"",X58+M58,"")</f>
        <v>17374.38843668448</v>
      </c>
      <c r="Z58" s="449">
        <f>IF(Q58&lt;&gt;"",U58/K58,"")</f>
        <v>9.0909090909090912E-2</v>
      </c>
      <c r="AA58" s="525"/>
      <c r="AB58" s="539">
        <f t="shared" si="12"/>
        <v>0</v>
      </c>
      <c r="AC58" s="796">
        <f>6750+6750</f>
        <v>13500</v>
      </c>
      <c r="AM58" s="759" t="s">
        <v>495</v>
      </c>
    </row>
    <row r="59" spans="1:39" ht="98.1" customHeight="1" x14ac:dyDescent="0.4">
      <c r="A59" s="441">
        <v>45</v>
      </c>
      <c r="B59" s="435" t="s">
        <v>376</v>
      </c>
      <c r="C59" s="442" t="s">
        <v>58</v>
      </c>
      <c r="D59" s="441" t="s">
        <v>83</v>
      </c>
      <c r="E59" s="441" t="s">
        <v>60</v>
      </c>
      <c r="F59" s="443" t="s">
        <v>388</v>
      </c>
      <c r="G59" s="401" t="s">
        <v>438</v>
      </c>
      <c r="H59" s="451">
        <v>1</v>
      </c>
      <c r="I59" s="451">
        <v>1</v>
      </c>
      <c r="J59" s="404">
        <v>1975.64</v>
      </c>
      <c r="K59" s="452">
        <f>IF(F59&lt;&gt;"",H59*I59*J59,"")</f>
        <v>1975.64</v>
      </c>
      <c r="L59" s="452">
        <f>IF(K59&lt;&gt;"",IF(D59="INTERNO",0,K59*$L$14),"")</f>
        <v>148.173</v>
      </c>
      <c r="M59" s="452">
        <f>IF(K59&lt;&gt;"",IF(E59="FAT.OGGI",SUM(K59:L59)*(1/(1-$M$14)-1),L59*(1/(1-$M$14)-1)),"")</f>
        <v>515.4475940101903</v>
      </c>
      <c r="N59" s="445">
        <f>SUM(K59:M59)</f>
        <v>2639.2605940101903</v>
      </c>
      <c r="Q59" s="486">
        <f t="shared" si="100"/>
        <v>1</v>
      </c>
      <c r="R59" s="455">
        <f t="shared" si="100"/>
        <v>1</v>
      </c>
      <c r="S59" s="487">
        <v>1975.64</v>
      </c>
      <c r="T59" s="487"/>
      <c r="U59" s="488">
        <f>IF(Q59&lt;&gt;"",K59-T59,"")</f>
        <v>1975.64</v>
      </c>
      <c r="V59" s="489">
        <f>IF(Q59&lt;&gt;"",0%,"")</f>
        <v>0</v>
      </c>
      <c r="W59" s="490">
        <f>IF(Q59&lt;&gt;"",V59*U59,"")</f>
        <v>0</v>
      </c>
      <c r="X59" s="490">
        <f>IF(Q59&lt;&gt;"",W59+T59,"")</f>
        <v>0</v>
      </c>
      <c r="Y59" s="412">
        <f>IF(Q59&lt;&gt;"",X59+M59,"")</f>
        <v>515.4475940101903</v>
      </c>
      <c r="Z59" s="466">
        <f>IF(Q59&lt;&gt;"",U59/K59,"")</f>
        <v>1</v>
      </c>
      <c r="AA59" s="525"/>
      <c r="AB59" s="539">
        <f t="shared" si="12"/>
        <v>0</v>
      </c>
      <c r="AC59" s="541"/>
    </row>
    <row r="60" spans="1:39" ht="46.05" customHeight="1" x14ac:dyDescent="0.4">
      <c r="A60" s="434">
        <v>46</v>
      </c>
      <c r="B60" s="435" t="s">
        <v>389</v>
      </c>
      <c r="C60" s="436" t="s">
        <v>58</v>
      </c>
      <c r="D60" s="434" t="s">
        <v>83</v>
      </c>
      <c r="E60" s="434" t="s">
        <v>60</v>
      </c>
      <c r="F60" s="491" t="s">
        <v>148</v>
      </c>
      <c r="G60" s="492" t="s">
        <v>411</v>
      </c>
      <c r="H60" s="493">
        <v>1</v>
      </c>
      <c r="I60" s="494">
        <v>1</v>
      </c>
      <c r="J60" s="495">
        <v>5046.7700000000004</v>
      </c>
      <c r="K60" s="496">
        <f>IF(F60&lt;&gt;"",H60*I60*J60,"")</f>
        <v>5046.7700000000004</v>
      </c>
      <c r="L60" s="496">
        <f>IF(K60&lt;&gt;"",IF(D60="INTERNO",0,K60*$L$14),"")</f>
        <v>378.50775000000004</v>
      </c>
      <c r="M60" s="496">
        <f>IF(K60&lt;&gt;"",IF(E60="FAT.OGGI",SUM(K60:L60)*(1/(1-$M$14)-1),L60*(1/(1-$M$14)-1)),"")</f>
        <v>1316.710257953275</v>
      </c>
      <c r="N60" s="497">
        <f>SUM(K60:M60)</f>
        <v>6741.988007953275</v>
      </c>
      <c r="Q60" s="498">
        <f t="shared" si="100"/>
        <v>1</v>
      </c>
      <c r="R60" s="499">
        <f t="shared" si="100"/>
        <v>1</v>
      </c>
      <c r="S60" s="500">
        <v>5046.7700000000004</v>
      </c>
      <c r="T60" s="501">
        <f>IF(Q60&lt;&gt;"",Q60*R60*S60,"")</f>
        <v>5046.7700000000004</v>
      </c>
      <c r="U60" s="502">
        <f>IF(Q60&lt;&gt;"",K60-T60,"")</f>
        <v>0</v>
      </c>
      <c r="V60" s="503">
        <f>IF(Q60&lt;&gt;"",0%,"")</f>
        <v>0</v>
      </c>
      <c r="W60" s="504">
        <f>IF(Q60&lt;&gt;"",V60*U60,"")</f>
        <v>0</v>
      </c>
      <c r="X60" s="504">
        <f>IF(Q60&lt;&gt;"",W60+T60,"")</f>
        <v>5046.7700000000004</v>
      </c>
      <c r="Y60" s="505">
        <f>IF(Q60&lt;&gt;"",X60+M60,"")</f>
        <v>6363.4802579532752</v>
      </c>
      <c r="Z60" s="449">
        <f t="shared" si="95"/>
        <v>0</v>
      </c>
      <c r="AA60" s="525">
        <f>T60/$T$61</f>
        <v>0.27211045373399251</v>
      </c>
      <c r="AB60" s="539">
        <f t="shared" si="12"/>
        <v>0</v>
      </c>
      <c r="AC60" s="796">
        <v>5046.7700000000004</v>
      </c>
      <c r="AM60" s="759" t="s">
        <v>494</v>
      </c>
    </row>
    <row r="61" spans="1:39" ht="30" customHeight="1" thickBot="1" x14ac:dyDescent="0.45">
      <c r="A61" s="441">
        <v>47</v>
      </c>
      <c r="B61" s="435"/>
      <c r="C61" s="442" t="s">
        <v>75</v>
      </c>
      <c r="D61" s="441"/>
      <c r="E61" s="441"/>
      <c r="F61" s="864" t="s">
        <v>149</v>
      </c>
      <c r="G61" s="865"/>
      <c r="H61" s="865"/>
      <c r="I61" s="865"/>
      <c r="J61" s="865"/>
      <c r="K61" s="231">
        <f>SUM(K58:K60)</f>
        <v>21872.41</v>
      </c>
      <c r="L61" s="231">
        <f>SUM(L58:L60)</f>
        <v>1640.43075</v>
      </c>
      <c r="M61" s="231">
        <f>SUM(M58:M60)</f>
        <v>5706.5462886479454</v>
      </c>
      <c r="N61" s="232">
        <f>SUM(N58:N60)</f>
        <v>29219.387038647943</v>
      </c>
      <c r="Q61" s="866" t="s">
        <v>149</v>
      </c>
      <c r="R61" s="867"/>
      <c r="S61" s="867"/>
      <c r="T61" s="177">
        <f>SUM(T58:T60)</f>
        <v>18546.77</v>
      </c>
      <c r="U61" s="178">
        <f>SUM(U58:U60)</f>
        <v>3325.6400000000003</v>
      </c>
      <c r="V61" s="411"/>
      <c r="W61" s="412"/>
      <c r="X61" s="175">
        <f>SUM(X58:X60)</f>
        <v>18546.77</v>
      </c>
      <c r="Y61" s="179">
        <f>IF(Q61&lt;&gt;"",X61+M61,"")</f>
        <v>24253.316288647948</v>
      </c>
      <c r="Z61" s="463"/>
      <c r="AA61" s="527"/>
      <c r="AB61" s="539"/>
      <c r="AC61" s="541"/>
    </row>
    <row r="62" spans="1:39" ht="29.25" customHeight="1" thickBot="1" x14ac:dyDescent="0.45">
      <c r="A62" s="434">
        <v>48</v>
      </c>
      <c r="B62" s="435" t="s">
        <v>377</v>
      </c>
      <c r="C62" s="436" t="s">
        <v>52</v>
      </c>
      <c r="D62" s="434"/>
      <c r="E62" s="434"/>
      <c r="F62" s="891" t="s">
        <v>150</v>
      </c>
      <c r="G62" s="892"/>
      <c r="H62" s="892"/>
      <c r="I62" s="892"/>
      <c r="J62" s="892"/>
      <c r="K62" s="892"/>
      <c r="L62" s="506" t="s">
        <v>54</v>
      </c>
      <c r="M62" s="506" t="s">
        <v>55</v>
      </c>
      <c r="N62" s="507" t="s">
        <v>29</v>
      </c>
      <c r="Q62" s="888" t="str">
        <f>IF(F62&lt;&gt;"",F62,"")</f>
        <v>Equipe de produção</v>
      </c>
      <c r="R62" s="875"/>
      <c r="S62" s="875"/>
      <c r="T62" s="875"/>
      <c r="U62" s="875"/>
      <c r="V62" s="875"/>
      <c r="W62" s="875"/>
      <c r="X62" s="875"/>
      <c r="Y62" s="889"/>
      <c r="Z62" s="508" t="s">
        <v>56</v>
      </c>
      <c r="AA62" s="528" t="s">
        <v>40</v>
      </c>
      <c r="AB62" s="539">
        <f t="shared" si="12"/>
        <v>0</v>
      </c>
      <c r="AC62" s="541"/>
    </row>
    <row r="63" spans="1:39" ht="90.6" thickBot="1" x14ac:dyDescent="0.45">
      <c r="A63" s="370">
        <v>49</v>
      </c>
      <c r="B63" s="435" t="s">
        <v>378</v>
      </c>
      <c r="C63" s="437" t="s">
        <v>58</v>
      </c>
      <c r="D63" s="370" t="s">
        <v>83</v>
      </c>
      <c r="E63" s="370" t="s">
        <v>60</v>
      </c>
      <c r="F63" s="443" t="s">
        <v>453</v>
      </c>
      <c r="G63" s="401" t="s">
        <v>151</v>
      </c>
      <c r="H63" s="403">
        <v>1</v>
      </c>
      <c r="I63" s="403">
        <v>4</v>
      </c>
      <c r="J63" s="404">
        <v>875</v>
      </c>
      <c r="K63" s="452">
        <f t="shared" ref="K63:K67" si="101">IF(F63&lt;&gt;"",H63*I63*J63,"")</f>
        <v>3500</v>
      </c>
      <c r="L63" s="404">
        <f t="shared" ref="L63:L67" si="102">IF(K63&lt;&gt;"",IF(D63="INTERNO",0,K63*$L$14),"")</f>
        <v>262.5</v>
      </c>
      <c r="M63" s="404">
        <f t="shared" ref="M63:M67" si="103">IF(K63&lt;&gt;"",IF(E63="FAT.OGGI",SUM(K63:L63)*(1/(1-$M$14)-1),L63*(1/(1-$M$14)-1)),"")</f>
        <v>913.15552379768883</v>
      </c>
      <c r="N63" s="405">
        <f t="shared" ref="N63:N67" si="104">SUM(K63:M63)</f>
        <v>4675.6555237976891</v>
      </c>
      <c r="Q63" s="406">
        <f>IF(H63&lt;&gt;"",H63,"")</f>
        <v>1</v>
      </c>
      <c r="R63" s="407">
        <f>IF(I63&lt;&gt;"",I63,"")</f>
        <v>4</v>
      </c>
      <c r="S63" s="408">
        <v>650</v>
      </c>
      <c r="T63" s="418">
        <f t="shared" ref="T63:T66" si="105">IF(Q63&lt;&gt;"",Q63*R63*S63,"")</f>
        <v>2600</v>
      </c>
      <c r="U63" s="410">
        <f t="shared" ref="U63:U67" si="106">IF(Q63&lt;&gt;"",K63-T63,"")</f>
        <v>900</v>
      </c>
      <c r="V63" s="411">
        <f t="shared" ref="V63:V67" si="107">IF(Q63&lt;&gt;"",0%,"")</f>
        <v>0</v>
      </c>
      <c r="W63" s="412">
        <f t="shared" ref="W63:W67" si="108">IF(Q63&lt;&gt;"",V63*U63,"")</f>
        <v>0</v>
      </c>
      <c r="X63" s="412">
        <f t="shared" ref="X63:X67" si="109">IF(Q63&lt;&gt;"",W63+T63,"")</f>
        <v>2600</v>
      </c>
      <c r="Y63" s="413">
        <f t="shared" ref="Y63:Y68" si="110">IF(Q63&lt;&gt;"",X63+M63,"")</f>
        <v>3513.1555237976891</v>
      </c>
      <c r="Z63" s="465">
        <f>IF(Q63&lt;&gt;"",U63/K63,"")</f>
        <v>0.25714285714285712</v>
      </c>
      <c r="AA63" s="529">
        <f>T63/$T$68</f>
        <v>9.5140062638753548E-2</v>
      </c>
      <c r="AB63" s="539">
        <f t="shared" si="12"/>
        <v>0</v>
      </c>
      <c r="AC63" s="796">
        <v>2600</v>
      </c>
      <c r="AM63" s="759" t="s">
        <v>500</v>
      </c>
    </row>
    <row r="64" spans="1:39" ht="90" x14ac:dyDescent="0.4">
      <c r="A64" s="370">
        <v>50</v>
      </c>
      <c r="B64" s="435" t="s">
        <v>379</v>
      </c>
      <c r="C64" s="437" t="s">
        <v>58</v>
      </c>
      <c r="D64" s="370" t="s">
        <v>83</v>
      </c>
      <c r="E64" s="370" t="s">
        <v>60</v>
      </c>
      <c r="F64" s="443" t="s">
        <v>454</v>
      </c>
      <c r="G64" s="401" t="s">
        <v>152</v>
      </c>
      <c r="H64" s="403">
        <v>1</v>
      </c>
      <c r="I64" s="403">
        <v>4</v>
      </c>
      <c r="J64" s="404">
        <v>875</v>
      </c>
      <c r="K64" s="404">
        <f t="shared" si="101"/>
        <v>3500</v>
      </c>
      <c r="L64" s="404">
        <f t="shared" si="102"/>
        <v>262.5</v>
      </c>
      <c r="M64" s="404">
        <f t="shared" si="103"/>
        <v>913.15552379768883</v>
      </c>
      <c r="N64" s="405">
        <f t="shared" si="104"/>
        <v>4675.6555237976891</v>
      </c>
      <c r="Q64" s="406">
        <f t="shared" ref="Q64" si="111">IF(H64&lt;&gt;"",H64,"")</f>
        <v>1</v>
      </c>
      <c r="R64" s="407">
        <f t="shared" ref="R64" si="112">IF(I64&lt;&gt;"",I64,"")</f>
        <v>4</v>
      </c>
      <c r="S64" s="408">
        <v>650</v>
      </c>
      <c r="T64" s="418">
        <f t="shared" si="105"/>
        <v>2600</v>
      </c>
      <c r="U64" s="410">
        <f t="shared" si="106"/>
        <v>900</v>
      </c>
      <c r="V64" s="411">
        <f t="shared" si="107"/>
        <v>0</v>
      </c>
      <c r="W64" s="412">
        <f t="shared" si="108"/>
        <v>0</v>
      </c>
      <c r="X64" s="412">
        <f t="shared" si="109"/>
        <v>2600</v>
      </c>
      <c r="Y64" s="413">
        <f t="shared" si="110"/>
        <v>3513.1555237976891</v>
      </c>
      <c r="Z64" s="465">
        <f t="shared" ref="Z64" si="113">IF(Q64&lt;&gt;"",U64/K64,"")</f>
        <v>0.25714285714285712</v>
      </c>
      <c r="AA64" s="529">
        <f>T64/$T$68</f>
        <v>9.5140062638753548E-2</v>
      </c>
      <c r="AB64" s="539">
        <f t="shared" si="12"/>
        <v>0</v>
      </c>
      <c r="AC64" s="796">
        <v>2600</v>
      </c>
      <c r="AM64" s="759" t="s">
        <v>499</v>
      </c>
    </row>
    <row r="65" spans="1:39" ht="90" x14ac:dyDescent="0.4">
      <c r="A65" s="441">
        <v>51</v>
      </c>
      <c r="B65" s="435" t="s">
        <v>380</v>
      </c>
      <c r="C65" s="442" t="s">
        <v>58</v>
      </c>
      <c r="D65" s="441" t="s">
        <v>83</v>
      </c>
      <c r="E65" s="441" t="s">
        <v>60</v>
      </c>
      <c r="F65" s="443" t="s">
        <v>455</v>
      </c>
      <c r="G65" s="401" t="s">
        <v>153</v>
      </c>
      <c r="H65" s="403">
        <v>1</v>
      </c>
      <c r="I65" s="403">
        <v>3</v>
      </c>
      <c r="J65" s="404">
        <v>875</v>
      </c>
      <c r="K65" s="452">
        <f t="shared" si="101"/>
        <v>2625</v>
      </c>
      <c r="L65" s="452">
        <f t="shared" si="102"/>
        <v>196.875</v>
      </c>
      <c r="M65" s="452">
        <f t="shared" si="103"/>
        <v>684.86664284826668</v>
      </c>
      <c r="N65" s="445">
        <f t="shared" si="104"/>
        <v>3506.7416428482666</v>
      </c>
      <c r="Q65" s="406">
        <f>IF(H65&lt;&gt;"",H65,"")</f>
        <v>1</v>
      </c>
      <c r="R65" s="407">
        <f>IF(I65&lt;&gt;"",I65,"")</f>
        <v>3</v>
      </c>
      <c r="S65" s="408">
        <v>650</v>
      </c>
      <c r="T65" s="418">
        <f t="shared" si="105"/>
        <v>1950</v>
      </c>
      <c r="U65" s="410">
        <f t="shared" si="106"/>
        <v>675</v>
      </c>
      <c r="V65" s="411">
        <f t="shared" si="107"/>
        <v>0</v>
      </c>
      <c r="W65" s="412">
        <f t="shared" si="108"/>
        <v>0</v>
      </c>
      <c r="X65" s="412">
        <f t="shared" si="109"/>
        <v>1950</v>
      </c>
      <c r="Y65" s="413">
        <f t="shared" si="110"/>
        <v>2634.8666428482666</v>
      </c>
      <c r="Z65" s="449">
        <f>IF(Q65&lt;&gt;"",U65/K65,"")</f>
        <v>0.25714285714285712</v>
      </c>
      <c r="AA65" s="530"/>
      <c r="AB65" s="539">
        <f t="shared" si="12"/>
        <v>0</v>
      </c>
      <c r="AC65" s="796">
        <v>1950</v>
      </c>
      <c r="AM65" s="759" t="s">
        <v>498</v>
      </c>
    </row>
    <row r="66" spans="1:39" ht="90" x14ac:dyDescent="0.4">
      <c r="A66" s="434">
        <v>52</v>
      </c>
      <c r="B66" s="435" t="s">
        <v>381</v>
      </c>
      <c r="C66" s="436" t="s">
        <v>58</v>
      </c>
      <c r="D66" s="434" t="s">
        <v>83</v>
      </c>
      <c r="E66" s="434" t="s">
        <v>60</v>
      </c>
      <c r="F66" s="443" t="s">
        <v>456</v>
      </c>
      <c r="G66" s="401" t="s">
        <v>154</v>
      </c>
      <c r="H66" s="403">
        <v>1</v>
      </c>
      <c r="I66" s="403">
        <v>3</v>
      </c>
      <c r="J66" s="404">
        <v>875</v>
      </c>
      <c r="K66" s="452">
        <f t="shared" si="101"/>
        <v>2625</v>
      </c>
      <c r="L66" s="452">
        <f t="shared" si="102"/>
        <v>196.875</v>
      </c>
      <c r="M66" s="452">
        <f t="shared" si="103"/>
        <v>684.86664284826668</v>
      </c>
      <c r="N66" s="445">
        <f t="shared" si="104"/>
        <v>3506.7416428482666</v>
      </c>
      <c r="Q66" s="406">
        <f t="shared" ref="Q66" si="114">IF(H66&lt;&gt;"",H66,"")</f>
        <v>1</v>
      </c>
      <c r="R66" s="407">
        <f t="shared" ref="R66" si="115">IF(I66&lt;&gt;"",I66,"")</f>
        <v>3</v>
      </c>
      <c r="S66" s="408">
        <v>650</v>
      </c>
      <c r="T66" s="450">
        <f t="shared" si="105"/>
        <v>1950</v>
      </c>
      <c r="U66" s="410">
        <f t="shared" si="106"/>
        <v>675</v>
      </c>
      <c r="V66" s="411">
        <f t="shared" si="107"/>
        <v>0</v>
      </c>
      <c r="W66" s="412">
        <f t="shared" si="108"/>
        <v>0</v>
      </c>
      <c r="X66" s="412">
        <f t="shared" si="109"/>
        <v>1950</v>
      </c>
      <c r="Y66" s="413">
        <f t="shared" si="110"/>
        <v>2634.8666428482666</v>
      </c>
      <c r="Z66" s="449">
        <f t="shared" ref="Z66" si="116">IF(Q66&lt;&gt;"",U66/K66,"")</f>
        <v>0.25714285714285712</v>
      </c>
      <c r="AA66" s="525">
        <f>T66/$T$68</f>
        <v>7.1355046979065154E-2</v>
      </c>
      <c r="AB66" s="539">
        <f t="shared" si="12"/>
        <v>0</v>
      </c>
      <c r="AC66" s="796">
        <v>1950</v>
      </c>
      <c r="AM66" s="759" t="s">
        <v>501</v>
      </c>
    </row>
    <row r="67" spans="1:39" ht="90" x14ac:dyDescent="0.4">
      <c r="A67" s="370">
        <v>53</v>
      </c>
      <c r="B67" s="435" t="s">
        <v>382</v>
      </c>
      <c r="C67" s="437" t="s">
        <v>58</v>
      </c>
      <c r="D67" s="370" t="s">
        <v>83</v>
      </c>
      <c r="E67" s="370" t="s">
        <v>60</v>
      </c>
      <c r="F67" s="509" t="s">
        <v>155</v>
      </c>
      <c r="G67" s="510" t="s">
        <v>439</v>
      </c>
      <c r="H67" s="451">
        <v>1</v>
      </c>
      <c r="I67" s="403">
        <v>1</v>
      </c>
      <c r="J67" s="404">
        <f>188.86+1600+4500+967.87+964.63</f>
        <v>8221.36</v>
      </c>
      <c r="K67" s="452">
        <f t="shared" si="101"/>
        <v>8221.36</v>
      </c>
      <c r="L67" s="452">
        <f t="shared" si="102"/>
        <v>616.60199999999998</v>
      </c>
      <c r="M67" s="452">
        <f t="shared" si="103"/>
        <v>2144.9657991798194</v>
      </c>
      <c r="N67" s="445">
        <f t="shared" si="104"/>
        <v>10982.927799179821</v>
      </c>
      <c r="Q67" s="406">
        <f t="shared" ref="Q67" si="117">IF(H67&lt;&gt;"",H67,"")</f>
        <v>1</v>
      </c>
      <c r="R67" s="407">
        <v>1</v>
      </c>
      <c r="S67" s="408">
        <v>10000</v>
      </c>
      <c r="T67" s="450">
        <f>18228.13</f>
        <v>18228.13</v>
      </c>
      <c r="U67" s="410">
        <f t="shared" si="106"/>
        <v>-10006.77</v>
      </c>
      <c r="V67" s="411">
        <f t="shared" si="107"/>
        <v>0</v>
      </c>
      <c r="W67" s="412">
        <f t="shared" si="108"/>
        <v>0</v>
      </c>
      <c r="X67" s="412">
        <f t="shared" si="109"/>
        <v>18228.13</v>
      </c>
      <c r="Y67" s="413">
        <f t="shared" si="110"/>
        <v>20373.09579917982</v>
      </c>
      <c r="Z67" s="449">
        <f t="shared" ref="Z67" si="118">IF(Q67&lt;&gt;"",U67/K67,"")</f>
        <v>-1.2171672326719667</v>
      </c>
      <c r="AA67" s="525">
        <f>T67/$T$68</f>
        <v>0.66700978076436257</v>
      </c>
      <c r="AB67" s="539">
        <f t="shared" si="12"/>
        <v>0</v>
      </c>
      <c r="AC67" s="796">
        <f>'CUSTOS OPERACIONAIS'!C18</f>
        <v>18228.13</v>
      </c>
      <c r="AM67" s="759" t="s">
        <v>526</v>
      </c>
    </row>
    <row r="68" spans="1:39" ht="30" customHeight="1" thickBot="1" x14ac:dyDescent="0.45">
      <c r="A68" s="441">
        <v>54</v>
      </c>
      <c r="B68" s="435"/>
      <c r="C68" s="442" t="s">
        <v>75</v>
      </c>
      <c r="D68" s="441"/>
      <c r="E68" s="441"/>
      <c r="F68" s="888" t="s">
        <v>156</v>
      </c>
      <c r="G68" s="875"/>
      <c r="H68" s="875"/>
      <c r="I68" s="875"/>
      <c r="J68" s="875"/>
      <c r="K68" s="215">
        <f>SUM(K63:K67)</f>
        <v>20471.36</v>
      </c>
      <c r="L68" s="215">
        <f>SUM(L63:L67)</f>
        <v>1535.3519999999999</v>
      </c>
      <c r="M68" s="215">
        <f>SUM(M63:M67)</f>
        <v>5341.0101324717307</v>
      </c>
      <c r="N68" s="216">
        <f>SUM(N63:N67)</f>
        <v>27347.722132471732</v>
      </c>
      <c r="Q68" s="866" t="s">
        <v>156</v>
      </c>
      <c r="R68" s="867"/>
      <c r="S68" s="867"/>
      <c r="T68" s="177">
        <f>SUM(T63:T67)</f>
        <v>27328.13</v>
      </c>
      <c r="U68" s="178">
        <f>SUM(U63:U67)</f>
        <v>-6856.77</v>
      </c>
      <c r="V68" s="411"/>
      <c r="W68" s="412"/>
      <c r="X68" s="175">
        <f>SUM(X63:X67)</f>
        <v>27328.13</v>
      </c>
      <c r="Y68" s="179">
        <f t="shared" si="110"/>
        <v>32669.14013247173</v>
      </c>
      <c r="Z68" s="463"/>
      <c r="AA68" s="527"/>
      <c r="AB68" s="539"/>
      <c r="AC68" s="541"/>
    </row>
    <row r="69" spans="1:39" ht="29.25" customHeight="1" thickBot="1" x14ac:dyDescent="0.45">
      <c r="A69" s="370">
        <v>55</v>
      </c>
      <c r="B69" s="511"/>
      <c r="C69" s="437" t="s">
        <v>79</v>
      </c>
      <c r="D69" s="370"/>
      <c r="E69" s="370"/>
      <c r="F69" s="512" t="s">
        <v>80</v>
      </c>
      <c r="G69" s="513"/>
      <c r="H69" s="514"/>
      <c r="I69" s="514"/>
      <c r="J69" s="513"/>
      <c r="K69" s="515">
        <f>SUM(K17:K23)+SUM(K27:K31)+SUM(K35:K49)+SUM(K52:K54)+SUM(K58:K60)+SUM(K63:K67)</f>
        <v>379736.61</v>
      </c>
      <c r="L69" s="515">
        <f>SUM(L17:L23)+SUM(L27:L31)+SUM(L35:L49)+SUM(L52:L54)+SUM(L58:L60)+SUM(L63:L67)</f>
        <v>28480.245749999998</v>
      </c>
      <c r="M69" s="515">
        <f>SUM(M17:M23)+SUM(M27:M31)+SUM(M35:M49)+SUM(M52:M54)+SUM(M58:M60)+SUM(M63:M67)</f>
        <v>99073.880859916782</v>
      </c>
      <c r="N69" s="516">
        <f>SUM(N17:N23)+SUM(N27:N31)+SUM(N35:N49)+SUM(N52:N54)+SUM(N58:N60)+SUM(N63:N67)</f>
        <v>507290.73660991678</v>
      </c>
      <c r="Q69" s="517" t="s">
        <v>81</v>
      </c>
      <c r="R69" s="514"/>
      <c r="S69" s="513"/>
      <c r="T69" s="515">
        <f>SUM(T17:T23)+SUM(T27:T31)+SUM(T35:T49)+SUM(T52:T54)+SUM(T58:T60)+SUM(T63:T67)</f>
        <v>287417.09999999998</v>
      </c>
      <c r="U69" s="515">
        <f>SUM(U17:U23)+SUM(U27:U31)+SUM(U35:U49)+SUM(U52:U54)+SUM(U58:U60)+SUM(U63:U67)</f>
        <v>92319.510000000009</v>
      </c>
      <c r="V69" s="513"/>
      <c r="W69" s="513"/>
      <c r="X69" s="515">
        <f>SUM(X17:X23)+SUM(X27:X31)+SUM(X35:X49)+SUM(X52:X54)+SUM(X58:X60)+SUM(X63:X67)</f>
        <v>287417.09999999998</v>
      </c>
      <c r="Y69" s="516">
        <f>SUM(Y17:Y23)+SUM(Y27:Y31)+SUM(Y35:Y49)+SUM(Y52:Y54)+SUM(Y58:Y60)+SUM(Y63:Y67)</f>
        <v>386490.98085991683</v>
      </c>
      <c r="Z69" s="518">
        <f>IF(Q69&lt;&gt;"",(N69-Y69)/N69,"")</f>
        <v>0.23812726516015489</v>
      </c>
      <c r="AA69" s="531">
        <f>IF(Z69&lt;&gt;"",(N69-Y69),"")</f>
        <v>120799.75574999995</v>
      </c>
      <c r="AB69" s="539">
        <f>SUM(AB17:AB68)</f>
        <v>0</v>
      </c>
      <c r="AC69" s="541">
        <f>SUM(AC17:AC68)</f>
        <v>287417.09999999998</v>
      </c>
    </row>
    <row r="72" spans="1:39" ht="25.8" x14ac:dyDescent="0.5">
      <c r="AB72" s="762">
        <v>0</v>
      </c>
      <c r="AC72" s="752" t="s">
        <v>54</v>
      </c>
    </row>
    <row r="73" spans="1:39" ht="25.8" x14ac:dyDescent="0.5">
      <c r="AB73" s="762">
        <v>0</v>
      </c>
      <c r="AC73" s="752" t="s">
        <v>55</v>
      </c>
    </row>
    <row r="74" spans="1:39" ht="25.8" x14ac:dyDescent="0.5">
      <c r="AB74" s="762">
        <f>X69</f>
        <v>287417.09999999998</v>
      </c>
      <c r="AC74" s="752" t="s">
        <v>468</v>
      </c>
    </row>
    <row r="75" spans="1:39" ht="25.8" x14ac:dyDescent="0.5">
      <c r="AB75" s="760">
        <f>N69-AB74</f>
        <v>219873.63660991681</v>
      </c>
      <c r="AC75" s="753" t="s">
        <v>457</v>
      </c>
    </row>
    <row r="76" spans="1:39" ht="25.8" x14ac:dyDescent="0.5">
      <c r="AB76" s="761">
        <f>AB75*100%/N69</f>
        <v>0.43342726516015512</v>
      </c>
      <c r="AC76" s="753"/>
    </row>
    <row r="77" spans="1:39" x14ac:dyDescent="0.35">
      <c r="J77" s="519"/>
    </row>
    <row r="88" spans="7:7" x14ac:dyDescent="0.35">
      <c r="G88" s="352" t="s">
        <v>364</v>
      </c>
    </row>
  </sheetData>
  <mergeCells count="39">
    <mergeCell ref="F34:K34"/>
    <mergeCell ref="Q34:Y34"/>
    <mergeCell ref="F62:K62"/>
    <mergeCell ref="Q62:Y62"/>
    <mergeCell ref="F68:J68"/>
    <mergeCell ref="Q68:S68"/>
    <mergeCell ref="F50:J50"/>
    <mergeCell ref="Q50:S50"/>
    <mergeCell ref="F51:K51"/>
    <mergeCell ref="Q51:Y51"/>
    <mergeCell ref="F61:J61"/>
    <mergeCell ref="Q61:S61"/>
    <mergeCell ref="F56:N56"/>
    <mergeCell ref="Q56:Y56"/>
    <mergeCell ref="F57:K57"/>
    <mergeCell ref="Q57:Y57"/>
    <mergeCell ref="AD12:AF12"/>
    <mergeCell ref="AH12:AI12"/>
    <mergeCell ref="F15:N15"/>
    <mergeCell ref="Q15:Y15"/>
    <mergeCell ref="F16:K16"/>
    <mergeCell ref="Q16:Y16"/>
    <mergeCell ref="AB14:AC14"/>
    <mergeCell ref="F1:G1"/>
    <mergeCell ref="F2:G2"/>
    <mergeCell ref="Q12:T12"/>
    <mergeCell ref="U12:X12"/>
    <mergeCell ref="F55:J55"/>
    <mergeCell ref="Q55:S55"/>
    <mergeCell ref="F24:J24"/>
    <mergeCell ref="Q24:S24"/>
    <mergeCell ref="F25:N25"/>
    <mergeCell ref="Q25:Y25"/>
    <mergeCell ref="F26:K26"/>
    <mergeCell ref="Q26:Y26"/>
    <mergeCell ref="F33:N33"/>
    <mergeCell ref="Q33:Y33"/>
    <mergeCell ref="F32:J32"/>
    <mergeCell ref="Q32:S32"/>
  </mergeCells>
  <phoneticPr fontId="37" type="noConversion"/>
  <dataValidations count="3">
    <dataValidation type="list" allowBlank="1" showInputMessage="1" showErrorMessage="1" sqref="E63:E68 E52:E61 E35:E50 E17:E32" xr:uid="{DA42B79D-25AD-4095-9797-29DCD3218BFC}">
      <formula1>"FAT.OGGI,FAT.CLIENTE"</formula1>
    </dataValidation>
    <dataValidation type="list" allowBlank="1" showInputMessage="1" showErrorMessage="1" sqref="E69 E15:E16" xr:uid="{D6A85F2F-E928-454F-BB52-B7C9A7E867A2}">
      <formula1>"FAT.OGGI,FAT.CLIENTE "</formula1>
    </dataValidation>
    <dataValidation type="list" allowBlank="1" showInputMessage="1" showErrorMessage="1" sqref="D63:D69 D52:D61 D35:D50 D15:D32" xr:uid="{7A7CDFEC-625C-40AC-836F-591C4C442078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675D-BBE8-41B2-851E-AC60DA59534F}">
  <sheetPr codeName="Planilha46">
    <tabColor theme="0"/>
    <pageSetUpPr autoPageBreaks="0"/>
  </sheetPr>
  <dimension ref="A1:AN80"/>
  <sheetViews>
    <sheetView showGridLines="0" topLeftCell="K1" zoomScale="70" zoomScaleNormal="70" workbookViewId="0">
      <pane ySplit="1" topLeftCell="A18" activePane="bottomLeft" state="frozen"/>
      <selection activeCell="H19" sqref="H19"/>
      <selection pane="bottomLeft" activeCell="AC21" sqref="AC21"/>
    </sheetView>
  </sheetViews>
  <sheetFormatPr defaultColWidth="8.77734375" defaultRowHeight="21" x14ac:dyDescent="0.4"/>
  <cols>
    <col min="1" max="1" width="4.77734375" style="243" hidden="1" customWidth="1"/>
    <col min="2" max="2" width="7.44140625" style="243" customWidth="1"/>
    <col min="3" max="3" width="10.5546875" style="243" hidden="1" customWidth="1"/>
    <col min="4" max="4" width="15.5546875" style="243" hidden="1" customWidth="1"/>
    <col min="5" max="5" width="11.5546875" style="243" hidden="1" customWidth="1"/>
    <col min="6" max="6" width="30.5546875" style="243" customWidth="1"/>
    <col min="7" max="7" width="75.5546875" style="243" customWidth="1"/>
    <col min="8" max="8" width="9.77734375" style="246" customWidth="1"/>
    <col min="9" max="9" width="13.21875" style="246" customWidth="1"/>
    <col min="10" max="10" width="19.21875" style="243" customWidth="1"/>
    <col min="11" max="11" width="29.77734375" style="243" bestFit="1" customWidth="1"/>
    <col min="12" max="13" width="26.44140625" style="243" bestFit="1" customWidth="1"/>
    <col min="14" max="14" width="29.77734375" style="243" bestFit="1" customWidth="1"/>
    <col min="15" max="15" width="1.44140625" style="243" hidden="1" customWidth="1"/>
    <col min="16" max="16" width="2.77734375" style="243" hidden="1" customWidth="1"/>
    <col min="17" max="17" width="8" style="246" customWidth="1"/>
    <col min="18" max="18" width="8" style="246" hidden="1" customWidth="1"/>
    <col min="19" max="19" width="20.77734375" style="243" hidden="1" customWidth="1"/>
    <col min="20" max="20" width="29.77734375" style="243" bestFit="1" customWidth="1"/>
    <col min="21" max="21" width="26.44140625" style="243" hidden="1" customWidth="1"/>
    <col min="22" max="23" width="19.5546875" style="243" hidden="1" customWidth="1"/>
    <col min="24" max="24" width="29.77734375" style="243" bestFit="1" customWidth="1"/>
    <col min="25" max="25" width="29.77734375" style="243" hidden="1" customWidth="1"/>
    <col min="26" max="27" width="25.77734375" style="243" hidden="1" customWidth="1"/>
    <col min="28" max="28" width="25.77734375" style="243" customWidth="1"/>
    <col min="29" max="29" width="28.44140625" style="243" customWidth="1"/>
    <col min="30" max="31" width="33" style="243" hidden="1" customWidth="1"/>
    <col min="32" max="32" width="28" style="243" hidden="1" customWidth="1"/>
    <col min="33" max="33" width="1.21875" style="243" hidden="1" customWidth="1"/>
    <col min="34" max="34" width="81.5546875" style="243" hidden="1" customWidth="1"/>
    <col min="35" max="35" width="36.77734375" style="243" hidden="1" customWidth="1"/>
    <col min="36" max="36" width="1.5546875" style="243" hidden="1" customWidth="1"/>
    <col min="37" max="37" width="20.21875" style="243" hidden="1" customWidth="1"/>
    <col min="38" max="38" width="25.21875" style="243" hidden="1" customWidth="1"/>
    <col min="39" max="39" width="24.77734375" style="243" hidden="1" customWidth="1"/>
    <col min="40" max="40" width="19.21875" style="243" bestFit="1" customWidth="1"/>
    <col min="41" max="41" width="21.21875" style="243" customWidth="1"/>
    <col min="42" max="16384" width="8.77734375" style="243"/>
  </cols>
  <sheetData>
    <row r="1" spans="1:37" ht="49.5" customHeight="1" x14ac:dyDescent="0.4">
      <c r="B1" s="244"/>
      <c r="C1" s="245"/>
      <c r="D1" s="245"/>
      <c r="F1" s="918" t="s">
        <v>0</v>
      </c>
      <c r="G1" s="918"/>
    </row>
    <row r="2" spans="1:37" ht="24.75" customHeight="1" x14ac:dyDescent="0.4">
      <c r="B2" s="246"/>
      <c r="D2" s="245"/>
      <c r="F2" s="919" t="s">
        <v>1</v>
      </c>
      <c r="G2" s="919"/>
    </row>
    <row r="3" spans="1:37" ht="22.8" thickBot="1" x14ac:dyDescent="0.45">
      <c r="B3" s="247"/>
      <c r="F3" s="248"/>
      <c r="G3" s="248"/>
    </row>
    <row r="4" spans="1:37" ht="22.2" x14ac:dyDescent="0.4">
      <c r="F4" s="249" t="s">
        <v>2</v>
      </c>
      <c r="G4" s="250"/>
    </row>
    <row r="5" spans="1:37" ht="22.2" x14ac:dyDescent="0.4">
      <c r="F5" s="251" t="s">
        <v>3</v>
      </c>
      <c r="G5" s="252"/>
    </row>
    <row r="6" spans="1:37" ht="22.2" x14ac:dyDescent="0.4">
      <c r="F6" s="251" t="s">
        <v>4</v>
      </c>
      <c r="G6" s="253"/>
    </row>
    <row r="7" spans="1:37" ht="21.75" customHeight="1" x14ac:dyDescent="0.4">
      <c r="F7" s="251" t="s">
        <v>5</v>
      </c>
      <c r="G7" s="253"/>
    </row>
    <row r="8" spans="1:37" ht="22.2" x14ac:dyDescent="0.4">
      <c r="F8" s="251" t="s">
        <v>447</v>
      </c>
      <c r="G8" s="254"/>
    </row>
    <row r="9" spans="1:37" ht="22.2" x14ac:dyDescent="0.4">
      <c r="F9" s="251" t="s">
        <v>7</v>
      </c>
      <c r="G9" s="253"/>
      <c r="M9" s="243">
        <v>0.80469999999999997</v>
      </c>
    </row>
    <row r="10" spans="1:37" ht="22.2" x14ac:dyDescent="0.4">
      <c r="F10" s="251" t="s">
        <v>8</v>
      </c>
      <c r="G10" s="253"/>
      <c r="M10" s="243">
        <f>1-M9</f>
        <v>0.19530000000000003</v>
      </c>
    </row>
    <row r="11" spans="1:37" ht="22.8" thickBot="1" x14ac:dyDescent="0.45">
      <c r="F11" s="255" t="s">
        <v>9</v>
      </c>
      <c r="G11" s="256"/>
      <c r="H11" s="257" t="s">
        <v>10</v>
      </c>
      <c r="I11" s="258"/>
      <c r="J11" s="259"/>
    </row>
    <row r="12" spans="1:37" ht="22.8" thickBot="1" x14ac:dyDescent="0.45">
      <c r="B12" s="260"/>
      <c r="G12" s="261"/>
      <c r="M12" s="262"/>
      <c r="Q12" s="920" t="s">
        <v>11</v>
      </c>
      <c r="R12" s="921"/>
      <c r="S12" s="921"/>
      <c r="T12" s="922"/>
      <c r="U12" s="923" t="s">
        <v>12</v>
      </c>
      <c r="V12" s="924"/>
      <c r="W12" s="924"/>
      <c r="X12" s="925"/>
      <c r="Y12" s="263" t="s">
        <v>13</v>
      </c>
      <c r="Z12" s="264">
        <f>(1/(1-M14))-1</f>
        <v>0.24269914253759173</v>
      </c>
      <c r="AD12" s="913" t="s">
        <v>14</v>
      </c>
      <c r="AE12" s="914"/>
      <c r="AF12" s="915"/>
      <c r="AH12" s="916" t="s">
        <v>15</v>
      </c>
      <c r="AI12" s="917"/>
      <c r="AK12" s="265" t="s">
        <v>16</v>
      </c>
    </row>
    <row r="13" spans="1:37" ht="22.8" thickBot="1" x14ac:dyDescent="0.5">
      <c r="A13" s="266" t="s">
        <v>18</v>
      </c>
      <c r="B13" s="267" t="s">
        <v>19</v>
      </c>
      <c r="C13" s="266" t="s">
        <v>20</v>
      </c>
      <c r="D13" s="266" t="s">
        <v>21</v>
      </c>
      <c r="E13" s="266" t="s">
        <v>22</v>
      </c>
      <c r="M13" s="268">
        <v>0.80469999999999997</v>
      </c>
    </row>
    <row r="14" spans="1:37" ht="45" thickBot="1" x14ac:dyDescent="0.45">
      <c r="A14" s="269">
        <v>0</v>
      </c>
      <c r="B14" s="270"/>
      <c r="C14" s="271"/>
      <c r="D14" s="272"/>
      <c r="E14" s="272"/>
      <c r="F14" s="273" t="s">
        <v>23</v>
      </c>
      <c r="G14" s="274" t="s">
        <v>24</v>
      </c>
      <c r="H14" s="275" t="s">
        <v>25</v>
      </c>
      <c r="I14" s="275" t="s">
        <v>26</v>
      </c>
      <c r="J14" s="276" t="s">
        <v>27</v>
      </c>
      <c r="K14" s="277" t="s">
        <v>28</v>
      </c>
      <c r="L14" s="278">
        <v>7.4999999999999997E-2</v>
      </c>
      <c r="M14" s="279">
        <f>1-M13</f>
        <v>0.19530000000000003</v>
      </c>
      <c r="N14" s="280" t="s">
        <v>29</v>
      </c>
      <c r="Q14" s="281" t="s">
        <v>30</v>
      </c>
      <c r="R14" s="282" t="s">
        <v>31</v>
      </c>
      <c r="S14" s="283" t="s">
        <v>32</v>
      </c>
      <c r="T14" s="284" t="s">
        <v>33</v>
      </c>
      <c r="U14" s="285" t="s">
        <v>34</v>
      </c>
      <c r="V14" s="286" t="s">
        <v>35</v>
      </c>
      <c r="W14" s="287" t="s">
        <v>36</v>
      </c>
      <c r="X14" s="287" t="s">
        <v>37</v>
      </c>
      <c r="Y14" s="288" t="s">
        <v>38</v>
      </c>
      <c r="Z14" s="289" t="s">
        <v>39</v>
      </c>
      <c r="AA14" s="658" t="s">
        <v>40</v>
      </c>
      <c r="AB14" s="837" t="s">
        <v>17</v>
      </c>
      <c r="AC14" s="837"/>
      <c r="AD14" s="664" t="s">
        <v>41</v>
      </c>
      <c r="AE14" s="290" t="s">
        <v>42</v>
      </c>
      <c r="AF14" s="290" t="s">
        <v>43</v>
      </c>
      <c r="AH14" s="291" t="s">
        <v>44</v>
      </c>
      <c r="AI14" s="292" t="s">
        <v>45</v>
      </c>
      <c r="AJ14" s="243" t="s">
        <v>46</v>
      </c>
      <c r="AK14" s="243" t="s">
        <v>46</v>
      </c>
    </row>
    <row r="15" spans="1:37" s="296" customFormat="1" ht="30" customHeight="1" x14ac:dyDescent="0.45">
      <c r="A15" s="293">
        <v>1</v>
      </c>
      <c r="B15" s="294">
        <v>1</v>
      </c>
      <c r="C15" s="295" t="s">
        <v>49</v>
      </c>
      <c r="D15" s="293"/>
      <c r="E15" s="293"/>
      <c r="F15" s="902" t="s">
        <v>390</v>
      </c>
      <c r="G15" s="903"/>
      <c r="H15" s="903"/>
      <c r="I15" s="903"/>
      <c r="J15" s="903"/>
      <c r="K15" s="903"/>
      <c r="L15" s="903"/>
      <c r="M15" s="903"/>
      <c r="N15" s="904"/>
      <c r="Q15" s="905" t="str">
        <f>IF(F15&lt;&gt;"",F15,"")</f>
        <v>BRINDES</v>
      </c>
      <c r="R15" s="906"/>
      <c r="S15" s="906"/>
      <c r="T15" s="906"/>
      <c r="U15" s="906"/>
      <c r="V15" s="906"/>
      <c r="W15" s="906"/>
      <c r="X15" s="906"/>
      <c r="Y15" s="907"/>
      <c r="Z15" s="174"/>
      <c r="AA15" s="174"/>
      <c r="AB15" s="624"/>
      <c r="AC15" s="624"/>
    </row>
    <row r="16" spans="1:37" s="296" customFormat="1" ht="30" customHeight="1" x14ac:dyDescent="0.45">
      <c r="A16" s="311">
        <v>2</v>
      </c>
      <c r="B16" s="294" t="s">
        <v>51</v>
      </c>
      <c r="C16" s="312" t="s">
        <v>52</v>
      </c>
      <c r="D16" s="311"/>
      <c r="E16" s="311"/>
      <c r="F16" s="908"/>
      <c r="G16" s="909"/>
      <c r="H16" s="909"/>
      <c r="I16" s="909"/>
      <c r="J16" s="909"/>
      <c r="K16" s="909"/>
      <c r="L16" s="313" t="s">
        <v>54</v>
      </c>
      <c r="M16" s="313" t="s">
        <v>55</v>
      </c>
      <c r="N16" s="631" t="s">
        <v>29</v>
      </c>
      <c r="Q16" s="910" t="str">
        <f>IF(F16&lt;&gt;"",F16,"")</f>
        <v/>
      </c>
      <c r="R16" s="911"/>
      <c r="S16" s="911"/>
      <c r="T16" s="911"/>
      <c r="U16" s="911"/>
      <c r="V16" s="911"/>
      <c r="W16" s="911"/>
      <c r="X16" s="911"/>
      <c r="Y16" s="912"/>
      <c r="Z16" s="314" t="s">
        <v>56</v>
      </c>
      <c r="AA16" s="659" t="s">
        <v>40</v>
      </c>
      <c r="AB16" s="534" t="s">
        <v>47</v>
      </c>
      <c r="AC16" s="535" t="s">
        <v>48</v>
      </c>
    </row>
    <row r="17" spans="1:40" s="296" customFormat="1" ht="40.5" customHeight="1" x14ac:dyDescent="0.3">
      <c r="A17" s="293">
        <v>3</v>
      </c>
      <c r="B17" s="294" t="s">
        <v>57</v>
      </c>
      <c r="C17" s="295" t="s">
        <v>58</v>
      </c>
      <c r="D17" s="293" t="s">
        <v>83</v>
      </c>
      <c r="E17" s="293" t="s">
        <v>60</v>
      </c>
      <c r="F17" s="297" t="s">
        <v>391</v>
      </c>
      <c r="G17" s="298" t="s">
        <v>398</v>
      </c>
      <c r="H17" s="299">
        <v>340</v>
      </c>
      <c r="I17" s="299">
        <v>1</v>
      </c>
      <c r="J17" s="300">
        <v>37.58</v>
      </c>
      <c r="K17" s="300">
        <f t="shared" ref="K17:K22" si="0">IF(F17&lt;&gt;"",H17*I17*J17,"")</f>
        <v>12777.199999999999</v>
      </c>
      <c r="L17" s="300">
        <f t="shared" ref="L17:L22" si="1">IF(K17&lt;&gt;"",IF(D17="INTERNO",0,K17*$L$14),"")</f>
        <v>958.28999999999985</v>
      </c>
      <c r="M17" s="300">
        <f t="shared" ref="M17:M22" si="2">IF(K17&lt;&gt;"",IF(E17="FAT.OGGI",SUM(K17:L17)*(1/(1-$M$14)-1),L17*(1/(1-$M$14)-1)),"")</f>
        <v>3333.5916453336654</v>
      </c>
      <c r="N17" s="301">
        <f t="shared" ref="N17:N22" si="3">SUM(K17:M17)</f>
        <v>17069.081645333663</v>
      </c>
      <c r="Q17" s="632">
        <f>IF(H17&lt;&gt;"",H17,"")</f>
        <v>340</v>
      </c>
      <c r="R17" s="329">
        <f>IF(I17&lt;&gt;"",I17,"")</f>
        <v>1</v>
      </c>
      <c r="S17" s="330">
        <v>25.8</v>
      </c>
      <c r="T17" s="331">
        <v>9030</v>
      </c>
      <c r="U17" s="332">
        <f t="shared" ref="U17:U22" si="4">IF(Q17&lt;&gt;"",K17-T17,"")</f>
        <v>3747.1999999999989</v>
      </c>
      <c r="V17" s="333">
        <f t="shared" ref="V17:V22" si="5">IF(Q17&lt;&gt;"",0%,"")</f>
        <v>0</v>
      </c>
      <c r="W17" s="334">
        <f t="shared" ref="W17:W22" si="6">IF(Q17&lt;&gt;"",V17*U17,"")</f>
        <v>0</v>
      </c>
      <c r="X17" s="334">
        <f t="shared" ref="X17:X22" si="7">IF(Q17&lt;&gt;"",W17+T17,"")</f>
        <v>9030</v>
      </c>
      <c r="Y17" s="335">
        <f t="shared" ref="Y17:Y23" si="8">IF(Q17&lt;&gt;"",X17+M17,"")</f>
        <v>12363.591645333665</v>
      </c>
      <c r="Z17" s="309">
        <f t="shared" ref="Z17:Z22" si="9">IF(Q17&lt;&gt;"",U17/K17,"")</f>
        <v>0.29327239144726536</v>
      </c>
      <c r="AA17" s="660">
        <f>T17/$T$23</f>
        <v>0.29602675059008654</v>
      </c>
      <c r="AB17" s="665">
        <f>X17-AC17</f>
        <v>0</v>
      </c>
      <c r="AC17" s="798">
        <f>4515+4515</f>
        <v>9030</v>
      </c>
      <c r="AN17" s="763" t="s">
        <v>483</v>
      </c>
    </row>
    <row r="18" spans="1:40" s="296" customFormat="1" ht="111" x14ac:dyDescent="0.3">
      <c r="A18" s="311">
        <v>4</v>
      </c>
      <c r="B18" s="294" t="s">
        <v>62</v>
      </c>
      <c r="C18" s="312" t="s">
        <v>58</v>
      </c>
      <c r="D18" s="293" t="s">
        <v>83</v>
      </c>
      <c r="E18" s="293" t="s">
        <v>60</v>
      </c>
      <c r="F18" s="297" t="s">
        <v>412</v>
      </c>
      <c r="G18" s="298" t="s">
        <v>403</v>
      </c>
      <c r="H18" s="299">
        <v>340</v>
      </c>
      <c r="I18" s="299">
        <v>1</v>
      </c>
      <c r="J18" s="300">
        <v>25.1</v>
      </c>
      <c r="K18" s="300">
        <f t="shared" si="0"/>
        <v>8534</v>
      </c>
      <c r="L18" s="300">
        <f t="shared" si="1"/>
        <v>640.04999999999995</v>
      </c>
      <c r="M18" s="300">
        <f t="shared" si="2"/>
        <v>2226.5340685969932</v>
      </c>
      <c r="N18" s="301">
        <f t="shared" si="3"/>
        <v>11400.584068596992</v>
      </c>
      <c r="Q18" s="633">
        <v>340</v>
      </c>
      <c r="R18" s="634">
        <v>1</v>
      </c>
      <c r="S18" s="336">
        <v>22.1</v>
      </c>
      <c r="T18" s="635">
        <f t="shared" ref="T18:T22" si="10">IF(Q18&lt;&gt;"",Q18*R18*S18,"")</f>
        <v>7514.0000000000009</v>
      </c>
      <c r="U18" s="337">
        <f t="shared" si="4"/>
        <v>1019.9999999999991</v>
      </c>
      <c r="V18" s="338">
        <f t="shared" si="5"/>
        <v>0</v>
      </c>
      <c r="W18" s="339">
        <f t="shared" si="6"/>
        <v>0</v>
      </c>
      <c r="X18" s="339">
        <f t="shared" si="7"/>
        <v>7514.0000000000009</v>
      </c>
      <c r="Y18" s="307">
        <f t="shared" si="8"/>
        <v>9740.5340685969932</v>
      </c>
      <c r="Z18" s="636">
        <f t="shared" si="9"/>
        <v>0.1195219123505975</v>
      </c>
      <c r="AA18" s="660"/>
      <c r="AB18" s="665">
        <f t="shared" ref="AB18:AB22" si="11">X18-AC18</f>
        <v>0</v>
      </c>
      <c r="AC18" s="798">
        <v>7514</v>
      </c>
      <c r="AN18" s="763" t="s">
        <v>487</v>
      </c>
    </row>
    <row r="19" spans="1:40" ht="56.55" customHeight="1" x14ac:dyDescent="0.45">
      <c r="A19" s="315">
        <v>5</v>
      </c>
      <c r="B19" s="316" t="s">
        <v>64</v>
      </c>
      <c r="C19" s="317" t="s">
        <v>58</v>
      </c>
      <c r="D19" s="315" t="s">
        <v>83</v>
      </c>
      <c r="E19" s="315" t="s">
        <v>60</v>
      </c>
      <c r="F19" s="348" t="s">
        <v>413</v>
      </c>
      <c r="G19" s="349" t="s">
        <v>414</v>
      </c>
      <c r="H19" s="299">
        <v>340</v>
      </c>
      <c r="I19" s="299">
        <v>1</v>
      </c>
      <c r="J19" s="300">
        <v>25.1</v>
      </c>
      <c r="K19" s="326">
        <f t="shared" si="0"/>
        <v>8534</v>
      </c>
      <c r="L19" s="326">
        <f t="shared" si="1"/>
        <v>640.04999999999995</v>
      </c>
      <c r="M19" s="326">
        <f t="shared" si="2"/>
        <v>2226.5340685969932</v>
      </c>
      <c r="N19" s="323">
        <f t="shared" si="3"/>
        <v>11400.584068596992</v>
      </c>
      <c r="Q19" s="637">
        <v>340</v>
      </c>
      <c r="R19" s="342">
        <v>1</v>
      </c>
      <c r="S19" s="343">
        <v>17</v>
      </c>
      <c r="T19" s="638">
        <f t="shared" si="10"/>
        <v>5780</v>
      </c>
      <c r="U19" s="344">
        <f t="shared" si="4"/>
        <v>2754</v>
      </c>
      <c r="V19" s="345">
        <f t="shared" si="5"/>
        <v>0</v>
      </c>
      <c r="W19" s="346">
        <f t="shared" si="6"/>
        <v>0</v>
      </c>
      <c r="X19" s="346">
        <f t="shared" si="7"/>
        <v>5780</v>
      </c>
      <c r="Y19" s="347">
        <f t="shared" si="8"/>
        <v>8006.5340685969932</v>
      </c>
      <c r="Z19" s="324">
        <f t="shared" si="9"/>
        <v>0.32270916334661354</v>
      </c>
      <c r="AA19" s="661">
        <f>T19/$T$23</f>
        <v>0.18948334644636769</v>
      </c>
      <c r="AB19" s="665">
        <f t="shared" si="11"/>
        <v>0</v>
      </c>
      <c r="AC19" s="795">
        <v>5780</v>
      </c>
      <c r="AN19" s="764" t="s">
        <v>488</v>
      </c>
    </row>
    <row r="20" spans="1:40" ht="36" customHeight="1" x14ac:dyDescent="0.45">
      <c r="A20" s="272">
        <v>6</v>
      </c>
      <c r="B20" s="316" t="s">
        <v>66</v>
      </c>
      <c r="C20" s="318" t="s">
        <v>58</v>
      </c>
      <c r="D20" s="272" t="s">
        <v>83</v>
      </c>
      <c r="E20" s="272" t="s">
        <v>60</v>
      </c>
      <c r="F20" s="348" t="s">
        <v>404</v>
      </c>
      <c r="G20" s="349" t="s">
        <v>407</v>
      </c>
      <c r="H20" s="325">
        <v>80</v>
      </c>
      <c r="I20" s="325">
        <v>1</v>
      </c>
      <c r="J20" s="300">
        <v>9.6</v>
      </c>
      <c r="K20" s="326">
        <f t="shared" si="0"/>
        <v>768</v>
      </c>
      <c r="L20" s="326">
        <f t="shared" si="1"/>
        <v>57.599999999999994</v>
      </c>
      <c r="M20" s="326">
        <f t="shared" si="2"/>
        <v>200.37241207903574</v>
      </c>
      <c r="N20" s="323">
        <f t="shared" si="3"/>
        <v>1025.9724120790358</v>
      </c>
      <c r="Q20" s="632">
        <v>40</v>
      </c>
      <c r="R20" s="329">
        <f>IF(I20&lt;&gt;"",I20,"")</f>
        <v>1</v>
      </c>
      <c r="S20" s="330">
        <v>8</v>
      </c>
      <c r="T20" s="639"/>
      <c r="U20" s="332">
        <f t="shared" si="4"/>
        <v>768</v>
      </c>
      <c r="V20" s="333">
        <f t="shared" si="5"/>
        <v>0</v>
      </c>
      <c r="W20" s="334">
        <f t="shared" si="6"/>
        <v>0</v>
      </c>
      <c r="X20" s="334">
        <f t="shared" si="7"/>
        <v>0</v>
      </c>
      <c r="Y20" s="335">
        <f t="shared" si="8"/>
        <v>200.37241207903574</v>
      </c>
      <c r="Z20" s="324">
        <f t="shared" si="9"/>
        <v>1</v>
      </c>
      <c r="AA20" s="661">
        <f>T20/$T$23</f>
        <v>0</v>
      </c>
      <c r="AB20" s="665">
        <f t="shared" si="11"/>
        <v>0</v>
      </c>
      <c r="AC20" s="627"/>
      <c r="AN20" s="765"/>
    </row>
    <row r="21" spans="1:40" ht="64.5" customHeight="1" x14ac:dyDescent="0.45">
      <c r="A21" s="272">
        <v>7</v>
      </c>
      <c r="B21" s="316" t="s">
        <v>68</v>
      </c>
      <c r="C21" s="318" t="s">
        <v>58</v>
      </c>
      <c r="D21" s="272" t="s">
        <v>83</v>
      </c>
      <c r="E21" s="272" t="s">
        <v>60</v>
      </c>
      <c r="F21" s="348" t="s">
        <v>415</v>
      </c>
      <c r="G21" s="349" t="s">
        <v>416</v>
      </c>
      <c r="H21" s="325">
        <v>350</v>
      </c>
      <c r="I21" s="325">
        <v>1</v>
      </c>
      <c r="J21" s="640">
        <v>26.3</v>
      </c>
      <c r="K21" s="326">
        <f t="shared" si="0"/>
        <v>9205</v>
      </c>
      <c r="L21" s="326">
        <f t="shared" si="1"/>
        <v>690.375</v>
      </c>
      <c r="M21" s="326">
        <f t="shared" si="2"/>
        <v>2401.5990275879217</v>
      </c>
      <c r="N21" s="323">
        <f t="shared" si="3"/>
        <v>12296.974027587921</v>
      </c>
      <c r="Q21" s="641">
        <v>350</v>
      </c>
      <c r="R21" s="642">
        <v>1</v>
      </c>
      <c r="S21" s="643">
        <v>19</v>
      </c>
      <c r="T21" s="644">
        <v>8180</v>
      </c>
      <c r="U21" s="645">
        <f t="shared" si="4"/>
        <v>1025</v>
      </c>
      <c r="V21" s="646">
        <f t="shared" si="5"/>
        <v>0</v>
      </c>
      <c r="W21" s="647">
        <f t="shared" si="6"/>
        <v>0</v>
      </c>
      <c r="X21" s="647">
        <f t="shared" si="7"/>
        <v>8180</v>
      </c>
      <c r="Y21" s="334">
        <f t="shared" si="8"/>
        <v>10581.599027587921</v>
      </c>
      <c r="Z21" s="328">
        <f t="shared" si="9"/>
        <v>0.11135252580119501</v>
      </c>
      <c r="AA21" s="648"/>
      <c r="AB21" s="665">
        <f t="shared" si="11"/>
        <v>0</v>
      </c>
      <c r="AC21" s="795">
        <v>8180</v>
      </c>
      <c r="AN21" s="764" t="s">
        <v>485</v>
      </c>
    </row>
    <row r="22" spans="1:40" ht="64.5" customHeight="1" thickBot="1" x14ac:dyDescent="0.5">
      <c r="A22" s="320">
        <v>8</v>
      </c>
      <c r="B22" s="316" t="s">
        <v>70</v>
      </c>
      <c r="C22" s="321" t="s">
        <v>58</v>
      </c>
      <c r="D22" s="320" t="s">
        <v>83</v>
      </c>
      <c r="E22" s="320" t="s">
        <v>60</v>
      </c>
      <c r="F22" s="348" t="s">
        <v>417</v>
      </c>
      <c r="G22" s="349" t="s">
        <v>418</v>
      </c>
      <c r="H22" s="325">
        <v>1</v>
      </c>
      <c r="I22" s="325">
        <v>1</v>
      </c>
      <c r="J22" s="300">
        <v>150</v>
      </c>
      <c r="K22" s="326">
        <f t="shared" si="0"/>
        <v>150</v>
      </c>
      <c r="L22" s="326">
        <f t="shared" si="1"/>
        <v>11.25</v>
      </c>
      <c r="M22" s="326">
        <f t="shared" si="2"/>
        <v>39.13523673418667</v>
      </c>
      <c r="N22" s="323">
        <f t="shared" si="3"/>
        <v>200.38523673418666</v>
      </c>
      <c r="Q22" s="633">
        <f>IF(H22&lt;&gt;"",H22,"")</f>
        <v>1</v>
      </c>
      <c r="R22" s="633">
        <f>IF(I22&lt;&gt;"",I22,"")</f>
        <v>1</v>
      </c>
      <c r="S22" s="336"/>
      <c r="T22" s="336">
        <f t="shared" si="10"/>
        <v>0</v>
      </c>
      <c r="U22" s="337">
        <f t="shared" si="4"/>
        <v>150</v>
      </c>
      <c r="V22" s="338">
        <f t="shared" si="5"/>
        <v>0</v>
      </c>
      <c r="W22" s="339">
        <f t="shared" si="6"/>
        <v>0</v>
      </c>
      <c r="X22" s="339">
        <f t="shared" si="7"/>
        <v>0</v>
      </c>
      <c r="Y22" s="307">
        <f t="shared" si="8"/>
        <v>39.13523673418667</v>
      </c>
      <c r="Z22" s="649">
        <f t="shared" si="9"/>
        <v>1</v>
      </c>
      <c r="AA22" s="648"/>
      <c r="AB22" s="665">
        <f t="shared" si="11"/>
        <v>0</v>
      </c>
      <c r="AC22" s="627"/>
    </row>
    <row r="23" spans="1:40" ht="29.25" customHeight="1" thickBot="1" x14ac:dyDescent="0.5">
      <c r="A23" s="315">
        <v>9</v>
      </c>
      <c r="B23" s="316"/>
      <c r="C23" s="317" t="s">
        <v>75</v>
      </c>
      <c r="D23" s="315"/>
      <c r="E23" s="315"/>
      <c r="F23" s="898" t="s">
        <v>76</v>
      </c>
      <c r="G23" s="899"/>
      <c r="H23" s="899"/>
      <c r="I23" s="899"/>
      <c r="J23" s="899"/>
      <c r="K23" s="650">
        <f>SUM(K17:K22)</f>
        <v>39968.199999999997</v>
      </c>
      <c r="L23" s="650">
        <f>SUM(L17:L22)</f>
        <v>2997.6149999999993</v>
      </c>
      <c r="M23" s="650">
        <f>SUM(M17:M22)</f>
        <v>10427.766458928794</v>
      </c>
      <c r="N23" s="651">
        <f>SUM(N17:N22)</f>
        <v>53393.581458928798</v>
      </c>
      <c r="Q23" s="900" t="s">
        <v>76</v>
      </c>
      <c r="R23" s="901"/>
      <c r="S23" s="901"/>
      <c r="T23" s="652">
        <f>SUM(T17:T22)</f>
        <v>30504</v>
      </c>
      <c r="U23" s="653">
        <f>SUM(U17:U22)</f>
        <v>9464.1999999999971</v>
      </c>
      <c r="V23" s="654"/>
      <c r="W23" s="654"/>
      <c r="X23" s="655">
        <f>SUM(X17:X22)</f>
        <v>30504</v>
      </c>
      <c r="Y23" s="656">
        <f t="shared" si="8"/>
        <v>40931.766458928796</v>
      </c>
      <c r="Z23" s="657" t="s">
        <v>77</v>
      </c>
      <c r="AA23" s="662" t="s">
        <v>78</v>
      </c>
      <c r="AB23" s="665"/>
      <c r="AC23" s="627"/>
    </row>
    <row r="24" spans="1:40" ht="43.95" customHeight="1" thickBot="1" x14ac:dyDescent="0.5">
      <c r="A24" s="320">
        <v>10</v>
      </c>
      <c r="B24" s="350"/>
      <c r="C24" s="321" t="s">
        <v>79</v>
      </c>
      <c r="D24" s="320"/>
      <c r="E24" s="320"/>
      <c r="F24" s="135" t="s">
        <v>80</v>
      </c>
      <c r="G24" s="136"/>
      <c r="H24" s="136"/>
      <c r="I24" s="136"/>
      <c r="J24" s="136"/>
      <c r="K24" s="144">
        <f>SUM(K17:K22)</f>
        <v>39968.199999999997</v>
      </c>
      <c r="L24" s="144">
        <f>SUM(L17:L22)</f>
        <v>2997.6149999999993</v>
      </c>
      <c r="M24" s="144">
        <f>SUM(M17:M22)</f>
        <v>10427.766458928794</v>
      </c>
      <c r="N24" s="233">
        <f>SUM(N17:N22)</f>
        <v>53393.581458928798</v>
      </c>
      <c r="Q24" s="135" t="s">
        <v>81</v>
      </c>
      <c r="R24" s="136"/>
      <c r="S24" s="136"/>
      <c r="T24" s="144">
        <f>SUM(T17:T22)</f>
        <v>30504</v>
      </c>
      <c r="U24" s="144">
        <f>SUM(U17:U22)</f>
        <v>9464.1999999999971</v>
      </c>
      <c r="V24" s="136"/>
      <c r="W24" s="136"/>
      <c r="X24" s="144">
        <f>SUM(X17:X22)</f>
        <v>30504</v>
      </c>
      <c r="Y24" s="233">
        <f>SUM(Y17:Y22)</f>
        <v>40931.766458928796</v>
      </c>
      <c r="Z24" s="139">
        <f>IF(Q24&lt;&gt;"",(N24-Y24)/N24,"")</f>
        <v>0.23339537561431106</v>
      </c>
      <c r="AA24" s="663">
        <f>IF(Z24&lt;&gt;"",(N24-Y24),"")</f>
        <v>12461.815000000002</v>
      </c>
      <c r="AB24" s="665">
        <f>SUM(AB17:AB23)</f>
        <v>0</v>
      </c>
      <c r="AC24" s="627">
        <f>SUM(AC17:AC23)</f>
        <v>30504</v>
      </c>
    </row>
    <row r="25" spans="1:40" ht="23.4" x14ac:dyDescent="0.45">
      <c r="H25" s="243"/>
      <c r="I25" s="243"/>
      <c r="Q25" s="243"/>
      <c r="R25" s="243"/>
      <c r="AB25" s="666"/>
      <c r="AC25" s="666"/>
    </row>
    <row r="26" spans="1:40" ht="23.4" x14ac:dyDescent="0.45">
      <c r="H26" s="243"/>
      <c r="I26" s="243"/>
      <c r="Q26" s="243"/>
      <c r="R26" s="243"/>
      <c r="AB26" s="666"/>
      <c r="AC26" s="666"/>
    </row>
    <row r="27" spans="1:40" ht="13.95" customHeight="1" x14ac:dyDescent="0.45">
      <c r="H27" s="243"/>
      <c r="I27" s="243"/>
      <c r="Q27" s="243"/>
      <c r="R27" s="243"/>
      <c r="AB27" s="666"/>
      <c r="AC27" s="666"/>
    </row>
    <row r="28" spans="1:40" ht="27" customHeight="1" x14ac:dyDescent="0.5">
      <c r="H28" s="243"/>
      <c r="I28" s="243"/>
      <c r="Q28" s="243"/>
      <c r="R28" s="243"/>
      <c r="AB28" s="762">
        <v>0</v>
      </c>
      <c r="AC28" s="752" t="s">
        <v>54</v>
      </c>
    </row>
    <row r="29" spans="1:40" ht="25.8" x14ac:dyDescent="0.5">
      <c r="H29" s="243"/>
      <c r="I29" s="243"/>
      <c r="Q29" s="243"/>
      <c r="R29" s="243"/>
      <c r="AB29" s="762">
        <v>0</v>
      </c>
      <c r="AC29" s="752" t="s">
        <v>55</v>
      </c>
    </row>
    <row r="30" spans="1:40" ht="25.8" x14ac:dyDescent="0.5">
      <c r="H30" s="243"/>
      <c r="I30" s="243"/>
      <c r="Q30" s="243"/>
      <c r="R30" s="243"/>
      <c r="AB30" s="762">
        <f>X24</f>
        <v>30504</v>
      </c>
      <c r="AC30" s="752" t="s">
        <v>468</v>
      </c>
    </row>
    <row r="31" spans="1:40" ht="25.8" x14ac:dyDescent="0.5">
      <c r="H31" s="243"/>
      <c r="I31" s="243"/>
      <c r="Q31" s="243"/>
      <c r="R31" s="243"/>
      <c r="AB31" s="760">
        <f>N24-AB30</f>
        <v>22889.581458928798</v>
      </c>
      <c r="AC31" s="753" t="s">
        <v>457</v>
      </c>
    </row>
    <row r="32" spans="1:40" ht="25.8" x14ac:dyDescent="0.5">
      <c r="H32" s="243"/>
      <c r="I32" s="243"/>
      <c r="Q32" s="243"/>
      <c r="R32" s="243"/>
      <c r="AB32" s="761">
        <f>AB31*100%/N24</f>
        <v>0.42869537561431109</v>
      </c>
      <c r="AC32" s="753"/>
    </row>
    <row r="33" s="243" customFormat="1" x14ac:dyDescent="0.4"/>
    <row r="34" s="243" customFormat="1" x14ac:dyDescent="0.4"/>
    <row r="35" s="243" customFormat="1" x14ac:dyDescent="0.4"/>
    <row r="36" s="243" customFormat="1" x14ac:dyDescent="0.4"/>
    <row r="37" s="243" customFormat="1" x14ac:dyDescent="0.4"/>
    <row r="38" s="243" customFormat="1" ht="59.25" customHeight="1" x14ac:dyDescent="0.4"/>
    <row r="39" s="243" customFormat="1" ht="54.75" customHeight="1" x14ac:dyDescent="0.4"/>
    <row r="40" s="243" customFormat="1" x14ac:dyDescent="0.4"/>
    <row r="41" s="243" customFormat="1" x14ac:dyDescent="0.4"/>
    <row r="42" s="243" customFormat="1" ht="30" customHeight="1" x14ac:dyDescent="0.4"/>
    <row r="43" s="243" customFormat="1" ht="29.25" customHeight="1" x14ac:dyDescent="0.4"/>
    <row r="44" s="243" customFormat="1" x14ac:dyDescent="0.4"/>
    <row r="45" s="243" customFormat="1" ht="43.05" customHeight="1" x14ac:dyDescent="0.4"/>
    <row r="46" s="243" customFormat="1" x14ac:dyDescent="0.4"/>
    <row r="47" s="243" customFormat="1" ht="25.5" customHeight="1" x14ac:dyDescent="0.4"/>
    <row r="48" s="243" customFormat="1" x14ac:dyDescent="0.4"/>
    <row r="49" s="243" customFormat="1" x14ac:dyDescent="0.4"/>
    <row r="50" s="243" customFormat="1" ht="98.1" customHeight="1" x14ac:dyDescent="0.4"/>
    <row r="51" s="243" customFormat="1" ht="98.1" customHeight="1" x14ac:dyDescent="0.4"/>
    <row r="52" s="243" customFormat="1" x14ac:dyDescent="0.4"/>
    <row r="53" s="243" customFormat="1" ht="30" customHeight="1" x14ac:dyDescent="0.4"/>
    <row r="54" s="243" customFormat="1" ht="29.25" customHeight="1" x14ac:dyDescent="0.4"/>
    <row r="55" s="243" customFormat="1" x14ac:dyDescent="0.4"/>
    <row r="56" s="243" customFormat="1" x14ac:dyDescent="0.4"/>
    <row r="57" s="243" customFormat="1" x14ac:dyDescent="0.4"/>
    <row r="58" s="243" customFormat="1" x14ac:dyDescent="0.4"/>
    <row r="59" s="243" customFormat="1" x14ac:dyDescent="0.4"/>
    <row r="60" s="243" customFormat="1" ht="30" customHeight="1" x14ac:dyDescent="0.4"/>
    <row r="61" s="243" customFormat="1" ht="29.25" customHeight="1" x14ac:dyDescent="0.4"/>
    <row r="69" spans="7:10" x14ac:dyDescent="0.4">
      <c r="J69" s="351"/>
    </row>
    <row r="80" spans="7:10" x14ac:dyDescent="0.4">
      <c r="G80" s="243" t="s">
        <v>364</v>
      </c>
    </row>
  </sheetData>
  <mergeCells count="13">
    <mergeCell ref="AD12:AF12"/>
    <mergeCell ref="AH12:AI12"/>
    <mergeCell ref="AB14:AC14"/>
    <mergeCell ref="F1:G1"/>
    <mergeCell ref="F2:G2"/>
    <mergeCell ref="Q12:T12"/>
    <mergeCell ref="U12:X12"/>
    <mergeCell ref="F23:J23"/>
    <mergeCell ref="Q23:S23"/>
    <mergeCell ref="F15:N15"/>
    <mergeCell ref="Q15:Y15"/>
    <mergeCell ref="F16:K16"/>
    <mergeCell ref="Q16:Y16"/>
  </mergeCells>
  <dataValidations count="3">
    <dataValidation type="list" allowBlank="1" showInputMessage="1" showErrorMessage="1" sqref="E15:E22" xr:uid="{64A0385E-6C3F-450F-88D9-C03998218973}">
      <formula1>"FAT.OGGI,FAT.CLIENTE"</formula1>
    </dataValidation>
    <dataValidation type="list" allowBlank="1" showInputMessage="1" showErrorMessage="1" sqref="D15:D22 D24" xr:uid="{BE522351-62EA-4AB8-8E35-8B29168E3A43}">
      <formula1>"INTERNO,OPERACIONAL"</formula1>
    </dataValidation>
    <dataValidation type="list" allowBlank="1" showInputMessage="1" showErrorMessage="1" sqref="E24" xr:uid="{CEDB29D2-7B26-4277-BEC0-DDE6B76AC357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3087E-D889-4E70-B44A-CF0E5BAAAC93}">
  <sheetPr codeName="Planilha45">
    <tabColor theme="0"/>
    <pageSetUpPr autoPageBreaks="0"/>
  </sheetPr>
  <dimension ref="A1:AP48"/>
  <sheetViews>
    <sheetView showGridLines="0" topLeftCell="G1" zoomScale="70" zoomScaleNormal="70" workbookViewId="0">
      <pane ySplit="1" topLeftCell="A36" activePane="bottomLeft" state="frozen"/>
      <selection activeCell="H11" sqref="H11:I11"/>
      <selection pane="bottomLeft" activeCell="T50" sqref="T50"/>
    </sheetView>
  </sheetViews>
  <sheetFormatPr defaultColWidth="8.77734375" defaultRowHeight="18" x14ac:dyDescent="0.35"/>
  <cols>
    <col min="1" max="1" width="4.77734375" style="352" hidden="1" customWidth="1"/>
    <col min="2" max="2" width="9.6640625" style="352" customWidth="1"/>
    <col min="3" max="3" width="9.77734375" style="352" hidden="1" customWidth="1"/>
    <col min="4" max="4" width="4.77734375" style="352" hidden="1" customWidth="1"/>
    <col min="5" max="5" width="12.77734375" style="352" hidden="1" customWidth="1"/>
    <col min="6" max="6" width="32.77734375" style="352" customWidth="1"/>
    <col min="7" max="7" width="64.77734375" style="352" customWidth="1"/>
    <col min="8" max="9" width="7.5546875" style="355" customWidth="1"/>
    <col min="10" max="10" width="19.21875" style="352" customWidth="1"/>
    <col min="11" max="11" width="29.77734375" style="352" bestFit="1" customWidth="1"/>
    <col min="12" max="13" width="26.44140625" style="352" bestFit="1" customWidth="1"/>
    <col min="14" max="14" width="29.77734375" style="352" bestFit="1" customWidth="1"/>
    <col min="15" max="16" width="2.77734375" style="352" hidden="1" customWidth="1"/>
    <col min="17" max="17" width="8" style="355" customWidth="1"/>
    <col min="18" max="18" width="8" style="355" hidden="1" customWidth="1"/>
    <col min="19" max="19" width="18.44140625" style="352" hidden="1" customWidth="1"/>
    <col min="20" max="20" width="29.77734375" style="352" bestFit="1" customWidth="1"/>
    <col min="21" max="21" width="29.77734375" style="352" hidden="1" customWidth="1"/>
    <col min="22" max="23" width="19.5546875" style="352" hidden="1" customWidth="1"/>
    <col min="24" max="24" width="29.77734375" style="352" bestFit="1" customWidth="1"/>
    <col min="25" max="25" width="29.77734375" style="352" hidden="1" customWidth="1"/>
    <col min="26" max="26" width="16" style="352" hidden="1" customWidth="1"/>
    <col min="27" max="27" width="25.77734375" style="352" hidden="1" customWidth="1"/>
    <col min="28" max="28" width="29.44140625" style="352" customWidth="1"/>
    <col min="29" max="29" width="30" style="352" customWidth="1"/>
    <col min="30" max="31" width="33" style="352" hidden="1" customWidth="1"/>
    <col min="32" max="32" width="28" style="352" hidden="1" customWidth="1"/>
    <col min="33" max="33" width="1.21875" style="352" hidden="1" customWidth="1"/>
    <col min="34" max="34" width="81.5546875" style="352" hidden="1" customWidth="1"/>
    <col min="35" max="35" width="36.77734375" style="352" hidden="1" customWidth="1"/>
    <col min="36" max="36" width="1.5546875" style="352" hidden="1" customWidth="1"/>
    <col min="37" max="37" width="20.21875" style="352" hidden="1" customWidth="1"/>
    <col min="38" max="38" width="25.21875" style="352" hidden="1" customWidth="1"/>
    <col min="39" max="39" width="24.77734375" style="352" hidden="1" customWidth="1"/>
    <col min="40" max="40" width="0" style="352" hidden="1" customWidth="1"/>
    <col min="41" max="41" width="21.21875" style="352" hidden="1" customWidth="1"/>
    <col min="42" max="16384" width="8.77734375" style="352"/>
  </cols>
  <sheetData>
    <row r="1" spans="1:37" ht="49.5" customHeight="1" x14ac:dyDescent="0.35">
      <c r="B1" s="353"/>
      <c r="C1" s="354"/>
      <c r="D1" s="354"/>
      <c r="F1" s="680" t="s">
        <v>0</v>
      </c>
      <c r="G1" s="680"/>
    </row>
    <row r="2" spans="1:37" ht="199.95" customHeight="1" x14ac:dyDescent="0.35">
      <c r="B2" s="355"/>
      <c r="D2" s="354"/>
      <c r="F2" s="681" t="s">
        <v>1</v>
      </c>
      <c r="G2" s="681"/>
    </row>
    <row r="3" spans="1:37" ht="18.600000000000001" thickBot="1" x14ac:dyDescent="0.4">
      <c r="B3" s="106"/>
      <c r="F3" s="89"/>
      <c r="G3" s="89"/>
    </row>
    <row r="4" spans="1:37" x14ac:dyDescent="0.35">
      <c r="F4" s="161" t="s">
        <v>2</v>
      </c>
      <c r="G4" s="164"/>
    </row>
    <row r="5" spans="1:37" x14ac:dyDescent="0.35">
      <c r="F5" s="162" t="s">
        <v>3</v>
      </c>
      <c r="G5" s="165"/>
    </row>
    <row r="6" spans="1:37" x14ac:dyDescent="0.35">
      <c r="F6" s="162" t="s">
        <v>4</v>
      </c>
      <c r="G6" s="167"/>
    </row>
    <row r="7" spans="1:37" ht="21.75" customHeight="1" x14ac:dyDescent="0.35">
      <c r="F7" s="162" t="s">
        <v>5</v>
      </c>
      <c r="G7" s="167"/>
    </row>
    <row r="8" spans="1:37" x14ac:dyDescent="0.35">
      <c r="F8" s="162" t="s">
        <v>6</v>
      </c>
      <c r="G8" s="356"/>
    </row>
    <row r="9" spans="1:37" x14ac:dyDescent="0.35">
      <c r="F9" s="162" t="s">
        <v>7</v>
      </c>
      <c r="G9" s="167"/>
      <c r="M9" s="352">
        <v>0.80469999999999997</v>
      </c>
    </row>
    <row r="10" spans="1:37" x14ac:dyDescent="0.35">
      <c r="F10" s="162" t="s">
        <v>8</v>
      </c>
      <c r="G10" s="167"/>
      <c r="M10" s="352">
        <f>1-M9</f>
        <v>0.19530000000000003</v>
      </c>
    </row>
    <row r="11" spans="1:37" ht="18.600000000000001" thickBot="1" x14ac:dyDescent="0.4">
      <c r="F11" s="163" t="s">
        <v>9</v>
      </c>
      <c r="G11" s="169"/>
      <c r="H11" s="682" t="s">
        <v>157</v>
      </c>
      <c r="I11" s="683"/>
      <c r="J11" s="684"/>
      <c r="K11" s="684"/>
    </row>
    <row r="12" spans="1:37" ht="18.600000000000001" thickBot="1" x14ac:dyDescent="0.4">
      <c r="B12" s="360"/>
      <c r="G12" s="361"/>
      <c r="M12" s="362"/>
      <c r="Q12" s="851" t="s">
        <v>11</v>
      </c>
      <c r="R12" s="852"/>
      <c r="S12" s="852"/>
      <c r="T12" s="853"/>
      <c r="U12" s="861" t="s">
        <v>12</v>
      </c>
      <c r="V12" s="862"/>
      <c r="W12" s="862"/>
      <c r="X12" s="863"/>
      <c r="Y12" s="363" t="s">
        <v>13</v>
      </c>
      <c r="Z12" s="364">
        <f>(1/(1-M14))-1</f>
        <v>0.24269914253759173</v>
      </c>
      <c r="AD12" s="844" t="s">
        <v>14</v>
      </c>
      <c r="AE12" s="845"/>
      <c r="AF12" s="846"/>
      <c r="AH12" s="847" t="s">
        <v>15</v>
      </c>
      <c r="AI12" s="848"/>
      <c r="AK12" s="365" t="s">
        <v>16</v>
      </c>
    </row>
    <row r="13" spans="1:37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366">
        <v>0.80469999999999997</v>
      </c>
    </row>
    <row r="14" spans="1:37" ht="36.6" thickBot="1" x14ac:dyDescent="0.4">
      <c r="A14" s="367">
        <v>0</v>
      </c>
      <c r="B14" s="368"/>
      <c r="C14" s="369"/>
      <c r="D14" s="370"/>
      <c r="E14" s="370"/>
      <c r="F14" s="371" t="s">
        <v>23</v>
      </c>
      <c r="G14" s="372" t="s">
        <v>24</v>
      </c>
      <c r="H14" s="373" t="s">
        <v>25</v>
      </c>
      <c r="I14" s="373" t="s">
        <v>26</v>
      </c>
      <c r="J14" s="374" t="s">
        <v>27</v>
      </c>
      <c r="K14" s="375" t="s">
        <v>28</v>
      </c>
      <c r="L14" s="685">
        <v>0.05</v>
      </c>
      <c r="M14" s="377">
        <f>1-M13</f>
        <v>0.19530000000000003</v>
      </c>
      <c r="N14" s="378" t="s">
        <v>29</v>
      </c>
      <c r="Q14" s="379" t="s">
        <v>30</v>
      </c>
      <c r="R14" s="380" t="s">
        <v>31</v>
      </c>
      <c r="S14" s="381" t="s">
        <v>32</v>
      </c>
      <c r="T14" s="382" t="s">
        <v>33</v>
      </c>
      <c r="U14" s="383" t="s">
        <v>34</v>
      </c>
      <c r="V14" s="384" t="s">
        <v>35</v>
      </c>
      <c r="W14" s="385" t="s">
        <v>36</v>
      </c>
      <c r="X14" s="385" t="s">
        <v>37</v>
      </c>
      <c r="Y14" s="386" t="s">
        <v>38</v>
      </c>
      <c r="Z14" s="387" t="s">
        <v>39</v>
      </c>
      <c r="AA14" s="520" t="s">
        <v>40</v>
      </c>
      <c r="AB14" s="837" t="s">
        <v>17</v>
      </c>
      <c r="AC14" s="837"/>
      <c r="AD14" s="532" t="s">
        <v>41</v>
      </c>
      <c r="AE14" s="388" t="s">
        <v>42</v>
      </c>
      <c r="AF14" s="388" t="s">
        <v>43</v>
      </c>
      <c r="AH14" s="389" t="s">
        <v>44</v>
      </c>
      <c r="AI14" s="390" t="s">
        <v>45</v>
      </c>
      <c r="AJ14" s="352" t="s">
        <v>46</v>
      </c>
      <c r="AK14" s="352" t="s">
        <v>46</v>
      </c>
    </row>
    <row r="15" spans="1:37" s="562" customFormat="1" ht="31.5" customHeight="1" thickBot="1" x14ac:dyDescent="0.5">
      <c r="A15" s="434">
        <v>1</v>
      </c>
      <c r="B15" s="435">
        <v>1</v>
      </c>
      <c r="C15" s="436" t="s">
        <v>49</v>
      </c>
      <c r="D15" s="434"/>
      <c r="E15" s="434"/>
      <c r="F15" s="926" t="s">
        <v>158</v>
      </c>
      <c r="G15" s="927"/>
      <c r="H15" s="927"/>
      <c r="I15" s="927"/>
      <c r="J15" s="927"/>
      <c r="K15" s="927"/>
      <c r="L15" s="927"/>
      <c r="M15" s="927"/>
      <c r="N15" s="928"/>
      <c r="Q15" s="929" t="str">
        <f>IF(F15&lt;&gt;"",F15,"")</f>
        <v>HOTEL</v>
      </c>
      <c r="R15" s="930"/>
      <c r="S15" s="930"/>
      <c r="T15" s="930"/>
      <c r="U15" s="930"/>
      <c r="V15" s="930"/>
      <c r="W15" s="930"/>
      <c r="X15" s="930"/>
      <c r="Y15" s="931"/>
      <c r="AB15" s="533"/>
      <c r="AC15" s="533"/>
    </row>
    <row r="16" spans="1:37" s="562" customFormat="1" ht="31.5" customHeight="1" thickBot="1" x14ac:dyDescent="0.35">
      <c r="A16" s="370">
        <v>2</v>
      </c>
      <c r="B16" s="435" t="s">
        <v>51</v>
      </c>
      <c r="C16" s="437" t="s">
        <v>52</v>
      </c>
      <c r="D16" s="370"/>
      <c r="E16" s="370"/>
      <c r="F16" s="185" t="s">
        <v>159</v>
      </c>
      <c r="G16" s="186"/>
      <c r="H16" s="187"/>
      <c r="I16" s="187"/>
      <c r="J16" s="186"/>
      <c r="K16" s="186"/>
      <c r="L16" s="686" t="s">
        <v>54</v>
      </c>
      <c r="M16" s="686" t="s">
        <v>55</v>
      </c>
      <c r="N16" s="687" t="s">
        <v>29</v>
      </c>
      <c r="Q16" s="932" t="str">
        <f>IF(F16&lt;&gt;"",F16,"")</f>
        <v>Hotel Novotel Itu Golf &amp; Resort</v>
      </c>
      <c r="R16" s="933"/>
      <c r="S16" s="933"/>
      <c r="T16" s="933"/>
      <c r="U16" s="933"/>
      <c r="V16" s="933"/>
      <c r="W16" s="933"/>
      <c r="X16" s="933"/>
      <c r="Y16" s="934"/>
      <c r="Z16" s="440" t="s">
        <v>56</v>
      </c>
      <c r="AA16" s="523" t="s">
        <v>40</v>
      </c>
      <c r="AB16" s="534" t="s">
        <v>47</v>
      </c>
      <c r="AC16" s="535" t="s">
        <v>48</v>
      </c>
    </row>
    <row r="17" spans="1:42" ht="66" customHeight="1" x14ac:dyDescent="0.45">
      <c r="A17" s="370">
        <v>3</v>
      </c>
      <c r="B17" s="435" t="s">
        <v>57</v>
      </c>
      <c r="C17" s="437" t="s">
        <v>58</v>
      </c>
      <c r="D17" s="370" t="s">
        <v>83</v>
      </c>
      <c r="E17" s="370" t="s">
        <v>160</v>
      </c>
      <c r="F17" s="491" t="s">
        <v>426</v>
      </c>
      <c r="G17" s="688" t="s">
        <v>421</v>
      </c>
      <c r="H17" s="689">
        <v>3</v>
      </c>
      <c r="I17" s="689">
        <v>1</v>
      </c>
      <c r="J17" s="496">
        <v>856.8</v>
      </c>
      <c r="K17" s="495">
        <f t="shared" ref="K17:K29" si="0">IF(F17&lt;&gt;"",H17*I17*J17,"")</f>
        <v>2570.3999999999996</v>
      </c>
      <c r="L17" s="496">
        <f t="shared" ref="L17:L32" si="1">IF(K17&lt;&gt;"",IF(D17="INTERNO",0,K17*$L$14),"")</f>
        <v>128.51999999999998</v>
      </c>
      <c r="M17" s="496">
        <f t="shared" ref="M17:M28" si="2">IF(K17&lt;&gt;"",IF(E17="FAT.OGGI",SUM(K17:L17)*(1/(1-$M$14)-1),L17*(1/(1-$M$14)-1)),"")</f>
        <v>31.191693798931283</v>
      </c>
      <c r="N17" s="497">
        <f t="shared" ref="N17:N32" si="3">SUM(K17:M17)</f>
        <v>2730.1116937989309</v>
      </c>
      <c r="Q17" s="406">
        <v>3</v>
      </c>
      <c r="R17" s="407">
        <v>1</v>
      </c>
      <c r="S17" s="408">
        <v>856.8</v>
      </c>
      <c r="T17" s="408"/>
      <c r="U17" s="410">
        <f t="shared" ref="U17:U32" si="4">IF(Q17&lt;&gt;"",K17-T17,"")</f>
        <v>2570.3999999999996</v>
      </c>
      <c r="V17" s="411">
        <f t="shared" ref="V17:V32" si="5">IF(Q17&lt;&gt;"",0%,"")</f>
        <v>0</v>
      </c>
      <c r="W17" s="412">
        <f t="shared" ref="W17:W31" si="6">IF(Q17&lt;&gt;"",V17*U17,"")</f>
        <v>0</v>
      </c>
      <c r="X17" s="412">
        <f t="shared" ref="X17:X32" si="7">IF(Q17&lt;&gt;"",W17+T17,"")</f>
        <v>0</v>
      </c>
      <c r="Y17" s="413">
        <f t="shared" ref="Y17:Y33" si="8">IF(Q17&lt;&gt;"",X17+M17,"")</f>
        <v>31.191693798931283</v>
      </c>
      <c r="Z17" s="465">
        <f t="shared" ref="Z17:Z32" si="9">IF(Q17&lt;&gt;"",U17/K17,"")</f>
        <v>1</v>
      </c>
      <c r="AA17" s="529">
        <f t="shared" ref="AA17:AA32" si="10">T17/$T$33</f>
        <v>0</v>
      </c>
      <c r="AB17" s="707">
        <f>X17-AC17</f>
        <v>0</v>
      </c>
      <c r="AC17" s="627"/>
    </row>
    <row r="18" spans="1:42" ht="90" x14ac:dyDescent="0.45">
      <c r="A18" s="370">
        <v>4</v>
      </c>
      <c r="B18" s="435" t="s">
        <v>62</v>
      </c>
      <c r="C18" s="437" t="s">
        <v>58</v>
      </c>
      <c r="D18" s="370" t="s">
        <v>83</v>
      </c>
      <c r="E18" s="370" t="s">
        <v>160</v>
      </c>
      <c r="F18" s="491" t="s">
        <v>426</v>
      </c>
      <c r="G18" s="688" t="s">
        <v>422</v>
      </c>
      <c r="H18" s="403">
        <v>69</v>
      </c>
      <c r="I18" s="403">
        <v>1</v>
      </c>
      <c r="J18" s="496">
        <v>856.8</v>
      </c>
      <c r="K18" s="404">
        <f t="shared" si="0"/>
        <v>59119.199999999997</v>
      </c>
      <c r="L18" s="404">
        <f t="shared" ref="L18" si="11">IF(K18&lt;&gt;"",IF(D18="INTERNO",0,K18*$L$14),"")</f>
        <v>2955.96</v>
      </c>
      <c r="M18" s="404">
        <f t="shared" si="2"/>
        <v>717.40895737541962</v>
      </c>
      <c r="N18" s="405">
        <f t="shared" ref="N18:N28" si="12">SUM(K18:M18)</f>
        <v>62792.568957375413</v>
      </c>
      <c r="Q18" s="406">
        <v>69</v>
      </c>
      <c r="R18" s="407">
        <v>1</v>
      </c>
      <c r="S18" s="408">
        <v>856.8</v>
      </c>
      <c r="T18" s="408"/>
      <c r="U18" s="410">
        <f t="shared" ref="U18" si="13">IF(Q18&lt;&gt;"",K18-T18,"")</f>
        <v>59119.199999999997</v>
      </c>
      <c r="V18" s="411">
        <f t="shared" ref="V18" si="14">IF(Q18&lt;&gt;"",0%,"")</f>
        <v>0</v>
      </c>
      <c r="W18" s="412">
        <f t="shared" ref="W18" si="15">IF(Q18&lt;&gt;"",V18*U18,"")</f>
        <v>0</v>
      </c>
      <c r="X18" s="412">
        <f t="shared" ref="X18" si="16">IF(Q18&lt;&gt;"",W18+T18,"")</f>
        <v>0</v>
      </c>
      <c r="Y18" s="413">
        <f t="shared" ref="Y18:Y28" si="17">IF(Q18&lt;&gt;"",X18+M18,"")</f>
        <v>717.40895737541962</v>
      </c>
      <c r="Z18" s="449">
        <f t="shared" ref="Z18" si="18">IF(Q18&lt;&gt;"",U18/K18,"")</f>
        <v>1</v>
      </c>
      <c r="AA18" s="525">
        <f t="shared" si="10"/>
        <v>0</v>
      </c>
      <c r="AB18" s="707">
        <f t="shared" ref="AB18:AB39" si="19">X18-AC18</f>
        <v>0</v>
      </c>
      <c r="AC18" s="627"/>
    </row>
    <row r="19" spans="1:42" ht="90" x14ac:dyDescent="0.45">
      <c r="A19" s="370">
        <v>5</v>
      </c>
      <c r="B19" s="435" t="s">
        <v>64</v>
      </c>
      <c r="C19" s="437" t="s">
        <v>58</v>
      </c>
      <c r="D19" s="370" t="s">
        <v>83</v>
      </c>
      <c r="E19" s="370" t="s">
        <v>160</v>
      </c>
      <c r="F19" s="491" t="s">
        <v>426</v>
      </c>
      <c r="G19" s="688" t="s">
        <v>423</v>
      </c>
      <c r="H19" s="403">
        <v>118</v>
      </c>
      <c r="I19" s="403">
        <v>1</v>
      </c>
      <c r="J19" s="404">
        <v>953.7</v>
      </c>
      <c r="K19" s="404">
        <f t="shared" si="0"/>
        <v>112536.6</v>
      </c>
      <c r="L19" s="404">
        <f t="shared" si="1"/>
        <v>5626.8300000000008</v>
      </c>
      <c r="M19" s="404">
        <f t="shared" si="2"/>
        <v>1365.6268162047975</v>
      </c>
      <c r="N19" s="405">
        <f t="shared" si="12"/>
        <v>119529.0568162048</v>
      </c>
      <c r="Q19" s="406">
        <v>118</v>
      </c>
      <c r="R19" s="407">
        <v>1</v>
      </c>
      <c r="S19" s="408">
        <v>953.7</v>
      </c>
      <c r="T19" s="408"/>
      <c r="U19" s="410">
        <f t="shared" si="4"/>
        <v>112536.6</v>
      </c>
      <c r="V19" s="411">
        <f t="shared" si="5"/>
        <v>0</v>
      </c>
      <c r="W19" s="412">
        <f t="shared" si="6"/>
        <v>0</v>
      </c>
      <c r="X19" s="412">
        <f t="shared" si="7"/>
        <v>0</v>
      </c>
      <c r="Y19" s="413">
        <f t="shared" si="17"/>
        <v>1365.6268162047975</v>
      </c>
      <c r="Z19" s="449">
        <f t="shared" si="9"/>
        <v>1</v>
      </c>
      <c r="AA19" s="525">
        <f t="shared" si="10"/>
        <v>0</v>
      </c>
      <c r="AB19" s="707">
        <f t="shared" si="19"/>
        <v>0</v>
      </c>
      <c r="AC19" s="627"/>
    </row>
    <row r="20" spans="1:42" ht="90" x14ac:dyDescent="0.45">
      <c r="A20" s="370">
        <v>6</v>
      </c>
      <c r="B20" s="435" t="s">
        <v>66</v>
      </c>
      <c r="C20" s="437" t="s">
        <v>58</v>
      </c>
      <c r="D20" s="370" t="s">
        <v>83</v>
      </c>
      <c r="E20" s="370" t="s">
        <v>160</v>
      </c>
      <c r="F20" s="491" t="s">
        <v>426</v>
      </c>
      <c r="G20" s="688" t="s">
        <v>424</v>
      </c>
      <c r="H20" s="403">
        <v>66</v>
      </c>
      <c r="I20" s="403">
        <v>1</v>
      </c>
      <c r="J20" s="496">
        <v>856.8</v>
      </c>
      <c r="K20" s="404">
        <f t="shared" si="0"/>
        <v>56548.799999999996</v>
      </c>
      <c r="L20" s="404">
        <f t="shared" ref="L20" si="20">IF(K20&lt;&gt;"",IF(D20="INTERNO",0,K20*$L$14),"")</f>
        <v>2827.44</v>
      </c>
      <c r="M20" s="404">
        <f t="shared" si="2"/>
        <v>686.21726357648834</v>
      </c>
      <c r="N20" s="405">
        <f t="shared" si="12"/>
        <v>60062.457263576485</v>
      </c>
      <c r="Q20" s="406">
        <v>66</v>
      </c>
      <c r="R20" s="407">
        <v>1</v>
      </c>
      <c r="S20" s="408">
        <v>856.8</v>
      </c>
      <c r="T20" s="408"/>
      <c r="U20" s="410">
        <f t="shared" ref="U20" si="21">IF(Q20&lt;&gt;"",K20-T20,"")</f>
        <v>56548.799999999996</v>
      </c>
      <c r="V20" s="411">
        <f t="shared" ref="V20" si="22">IF(Q20&lt;&gt;"",0%,"")</f>
        <v>0</v>
      </c>
      <c r="W20" s="412">
        <f t="shared" ref="W20" si="23">IF(Q20&lt;&gt;"",V20*U20,"")</f>
        <v>0</v>
      </c>
      <c r="X20" s="412">
        <f t="shared" ref="X20" si="24">IF(Q20&lt;&gt;"",W20+T20,"")</f>
        <v>0</v>
      </c>
      <c r="Y20" s="413">
        <f t="shared" si="17"/>
        <v>686.21726357648834</v>
      </c>
      <c r="Z20" s="449">
        <f t="shared" ref="Z20" si="25">IF(Q20&lt;&gt;"",U20/K20,"")</f>
        <v>1</v>
      </c>
      <c r="AA20" s="525">
        <f t="shared" si="10"/>
        <v>0</v>
      </c>
      <c r="AB20" s="707">
        <f t="shared" si="19"/>
        <v>0</v>
      </c>
      <c r="AC20" s="627"/>
    </row>
    <row r="21" spans="1:42" ht="90" x14ac:dyDescent="0.45">
      <c r="A21" s="370">
        <v>7</v>
      </c>
      <c r="B21" s="435" t="s">
        <v>68</v>
      </c>
      <c r="C21" s="437" t="s">
        <v>58</v>
      </c>
      <c r="D21" s="370" t="s">
        <v>83</v>
      </c>
      <c r="E21" s="370" t="s">
        <v>160</v>
      </c>
      <c r="F21" s="491" t="s">
        <v>426</v>
      </c>
      <c r="G21" s="688" t="s">
        <v>425</v>
      </c>
      <c r="H21" s="403">
        <v>116</v>
      </c>
      <c r="I21" s="403">
        <v>1</v>
      </c>
      <c r="J21" s="404">
        <v>953.7</v>
      </c>
      <c r="K21" s="404">
        <f t="shared" si="0"/>
        <v>110629.20000000001</v>
      </c>
      <c r="L21" s="404">
        <f t="shared" si="1"/>
        <v>5531.4600000000009</v>
      </c>
      <c r="M21" s="404">
        <f t="shared" si="2"/>
        <v>1342.4805989809875</v>
      </c>
      <c r="N21" s="405">
        <f t="shared" si="12"/>
        <v>117503.140598981</v>
      </c>
      <c r="Q21" s="406">
        <v>116</v>
      </c>
      <c r="R21" s="407">
        <v>1</v>
      </c>
      <c r="S21" s="408">
        <v>953.7</v>
      </c>
      <c r="T21" s="408">
        <v>872253.4</v>
      </c>
      <c r="U21" s="410">
        <f t="shared" si="4"/>
        <v>-761624.2</v>
      </c>
      <c r="V21" s="411">
        <f t="shared" si="5"/>
        <v>0</v>
      </c>
      <c r="W21" s="412">
        <f t="shared" si="6"/>
        <v>0</v>
      </c>
      <c r="X21" s="412">
        <f t="shared" si="7"/>
        <v>872253.4</v>
      </c>
      <c r="Y21" s="413">
        <f t="shared" si="17"/>
        <v>873595.88059898105</v>
      </c>
      <c r="Z21" s="449">
        <f t="shared" si="9"/>
        <v>-6.8844771543136885</v>
      </c>
      <c r="AA21" s="525">
        <f t="shared" si="10"/>
        <v>1</v>
      </c>
      <c r="AB21" s="707">
        <f t="shared" si="19"/>
        <v>0</v>
      </c>
      <c r="AC21" s="795">
        <f>242292.8+242292.8+387667.8</f>
        <v>872253.39999999991</v>
      </c>
      <c r="AP21" s="352" t="s">
        <v>491</v>
      </c>
    </row>
    <row r="22" spans="1:42" ht="90" x14ac:dyDescent="0.45">
      <c r="A22" s="370">
        <v>8</v>
      </c>
      <c r="B22" s="435" t="s">
        <v>70</v>
      </c>
      <c r="C22" s="437" t="s">
        <v>58</v>
      </c>
      <c r="D22" s="370" t="s">
        <v>83</v>
      </c>
      <c r="E22" s="370" t="s">
        <v>160</v>
      </c>
      <c r="F22" s="491"/>
      <c r="G22" s="688"/>
      <c r="H22" s="403"/>
      <c r="I22" s="403"/>
      <c r="J22" s="404"/>
      <c r="K22" s="404"/>
      <c r="L22" s="404"/>
      <c r="M22" s="404"/>
      <c r="N22" s="405"/>
      <c r="Q22" s="690">
        <v>1</v>
      </c>
      <c r="R22" s="691">
        <v>1</v>
      </c>
      <c r="S22" s="450">
        <f>-SUM(T17:T21)*10%</f>
        <v>-87225.340000000011</v>
      </c>
      <c r="T22" s="450"/>
      <c r="U22" s="410">
        <f t="shared" ref="U22" si="26">IF(Q22&lt;&gt;"",K22-T22,"")</f>
        <v>0</v>
      </c>
      <c r="V22" s="411">
        <f t="shared" ref="V22" si="27">IF(Q22&lt;&gt;"",0%,"")</f>
        <v>0</v>
      </c>
      <c r="W22" s="412">
        <f t="shared" ref="W22" si="28">IF(Q22&lt;&gt;"",V22*U22,"")</f>
        <v>0</v>
      </c>
      <c r="X22" s="412">
        <f t="shared" ref="X22" si="29">IF(Q22&lt;&gt;"",W22+T22,"")</f>
        <v>0</v>
      </c>
      <c r="Y22" s="413">
        <f t="shared" ref="Y22" si="30">IF(Q22&lt;&gt;"",X22+M22,"")</f>
        <v>0</v>
      </c>
      <c r="Z22" s="449" t="e">
        <f t="shared" ref="Z22" si="31">IF(Q22&lt;&gt;"",U22/K22,"")</f>
        <v>#DIV/0!</v>
      </c>
      <c r="AA22" s="525">
        <f t="shared" si="10"/>
        <v>0</v>
      </c>
      <c r="AB22" s="707">
        <f t="shared" si="19"/>
        <v>0</v>
      </c>
      <c r="AC22" s="627"/>
    </row>
    <row r="23" spans="1:42" ht="90" x14ac:dyDescent="0.45">
      <c r="A23" s="441">
        <v>9</v>
      </c>
      <c r="B23" s="435" t="s">
        <v>72</v>
      </c>
      <c r="C23" s="442" t="s">
        <v>58</v>
      </c>
      <c r="D23" s="441" t="s">
        <v>83</v>
      </c>
      <c r="E23" s="441" t="s">
        <v>160</v>
      </c>
      <c r="F23" s="443" t="s">
        <v>435</v>
      </c>
      <c r="G23" s="692" t="s">
        <v>436</v>
      </c>
      <c r="H23" s="403">
        <v>1</v>
      </c>
      <c r="I23" s="403">
        <v>1</v>
      </c>
      <c r="J23" s="404">
        <v>351</v>
      </c>
      <c r="K23" s="404">
        <f t="shared" si="0"/>
        <v>351</v>
      </c>
      <c r="L23" s="404">
        <f t="shared" ref="L23:L28" si="32">IF(K23&lt;&gt;"",IF(D23="INTERNO",0,K23*$L$14),"")</f>
        <v>17.55</v>
      </c>
      <c r="M23" s="404">
        <f t="shared" si="2"/>
        <v>4.259369951534735</v>
      </c>
      <c r="N23" s="405">
        <f t="shared" si="12"/>
        <v>372.80936995153473</v>
      </c>
      <c r="Q23" s="406">
        <v>1</v>
      </c>
      <c r="R23" s="407">
        <v>1</v>
      </c>
      <c r="S23" s="408">
        <v>351</v>
      </c>
      <c r="T23" s="408"/>
      <c r="U23" s="410">
        <f t="shared" ref="U23:U28" si="33">IF(Q23&lt;&gt;"",K23-T23,"")</f>
        <v>351</v>
      </c>
      <c r="V23" s="411">
        <f t="shared" ref="V23:V28" si="34">IF(Q23&lt;&gt;"",0%,"")</f>
        <v>0</v>
      </c>
      <c r="W23" s="412">
        <f t="shared" ref="W23:W28" si="35">IF(Q23&lt;&gt;"",V23*U23,"")</f>
        <v>0</v>
      </c>
      <c r="X23" s="412">
        <f t="shared" ref="X23:X28" si="36">IF(Q23&lt;&gt;"",W23+T23,"")</f>
        <v>0</v>
      </c>
      <c r="Y23" s="413">
        <f t="shared" si="17"/>
        <v>4.259369951534735</v>
      </c>
      <c r="Z23" s="449">
        <f t="shared" ref="Z23:Z28" si="37">IF(Q23&lt;&gt;"",U23/K23,"")</f>
        <v>1</v>
      </c>
      <c r="AA23" s="525">
        <f t="shared" si="10"/>
        <v>0</v>
      </c>
      <c r="AB23" s="707">
        <f t="shared" si="19"/>
        <v>0</v>
      </c>
      <c r="AC23" s="627"/>
    </row>
    <row r="24" spans="1:42" ht="90" x14ac:dyDescent="0.45">
      <c r="A24" s="441">
        <v>10</v>
      </c>
      <c r="B24" s="435" t="s">
        <v>74</v>
      </c>
      <c r="C24" s="442" t="s">
        <v>58</v>
      </c>
      <c r="D24" s="441" t="s">
        <v>83</v>
      </c>
      <c r="E24" s="441" t="s">
        <v>160</v>
      </c>
      <c r="F24" s="443" t="s">
        <v>162</v>
      </c>
      <c r="G24" s="692" t="s">
        <v>428</v>
      </c>
      <c r="H24" s="403">
        <v>8</v>
      </c>
      <c r="I24" s="403">
        <v>1</v>
      </c>
      <c r="J24" s="404">
        <v>194</v>
      </c>
      <c r="K24" s="404">
        <f t="shared" si="0"/>
        <v>1552</v>
      </c>
      <c r="L24" s="404">
        <f t="shared" si="32"/>
        <v>77.600000000000009</v>
      </c>
      <c r="M24" s="404">
        <f t="shared" si="2"/>
        <v>18.83345346091712</v>
      </c>
      <c r="N24" s="405">
        <f t="shared" si="12"/>
        <v>1648.433453460917</v>
      </c>
      <c r="Q24" s="406">
        <v>8</v>
      </c>
      <c r="R24" s="407">
        <v>1</v>
      </c>
      <c r="S24" s="408">
        <v>194</v>
      </c>
      <c r="T24" s="408"/>
      <c r="U24" s="410">
        <f t="shared" si="33"/>
        <v>1552</v>
      </c>
      <c r="V24" s="411">
        <f t="shared" si="34"/>
        <v>0</v>
      </c>
      <c r="W24" s="412">
        <f t="shared" si="35"/>
        <v>0</v>
      </c>
      <c r="X24" s="412">
        <f t="shared" si="36"/>
        <v>0</v>
      </c>
      <c r="Y24" s="413">
        <f t="shared" si="17"/>
        <v>18.83345346091712</v>
      </c>
      <c r="Z24" s="449">
        <f t="shared" si="37"/>
        <v>1</v>
      </c>
      <c r="AA24" s="525">
        <f t="shared" si="10"/>
        <v>0</v>
      </c>
      <c r="AB24" s="707">
        <f t="shared" si="19"/>
        <v>0</v>
      </c>
      <c r="AC24" s="627"/>
    </row>
    <row r="25" spans="1:42" ht="90" x14ac:dyDescent="0.45">
      <c r="A25" s="441">
        <v>11</v>
      </c>
      <c r="B25" s="435" t="s">
        <v>440</v>
      </c>
      <c r="C25" s="442" t="s">
        <v>58</v>
      </c>
      <c r="D25" s="441" t="s">
        <v>83</v>
      </c>
      <c r="E25" s="441" t="s">
        <v>160</v>
      </c>
      <c r="F25" s="443" t="s">
        <v>162</v>
      </c>
      <c r="G25" s="692" t="s">
        <v>429</v>
      </c>
      <c r="H25" s="403">
        <v>7</v>
      </c>
      <c r="I25" s="403">
        <v>1</v>
      </c>
      <c r="J25" s="404">
        <v>135</v>
      </c>
      <c r="K25" s="404">
        <f t="shared" si="0"/>
        <v>945</v>
      </c>
      <c r="L25" s="404">
        <f t="shared" si="32"/>
        <v>47.25</v>
      </c>
      <c r="M25" s="404">
        <f t="shared" si="2"/>
        <v>11.46753448490121</v>
      </c>
      <c r="N25" s="405">
        <f t="shared" si="12"/>
        <v>1003.7175344849012</v>
      </c>
      <c r="Q25" s="406">
        <v>7</v>
      </c>
      <c r="R25" s="407">
        <v>1</v>
      </c>
      <c r="S25" s="408">
        <v>135</v>
      </c>
      <c r="T25" s="408"/>
      <c r="U25" s="410">
        <f t="shared" si="33"/>
        <v>945</v>
      </c>
      <c r="V25" s="411">
        <f t="shared" si="34"/>
        <v>0</v>
      </c>
      <c r="W25" s="412">
        <f t="shared" si="35"/>
        <v>0</v>
      </c>
      <c r="X25" s="412">
        <f t="shared" si="36"/>
        <v>0</v>
      </c>
      <c r="Y25" s="413">
        <f t="shared" si="17"/>
        <v>11.46753448490121</v>
      </c>
      <c r="Z25" s="449">
        <f t="shared" si="37"/>
        <v>1</v>
      </c>
      <c r="AA25" s="525">
        <f t="shared" si="10"/>
        <v>0</v>
      </c>
      <c r="AB25" s="707">
        <f t="shared" si="19"/>
        <v>0</v>
      </c>
      <c r="AC25" s="627"/>
    </row>
    <row r="26" spans="1:42" ht="90" x14ac:dyDescent="0.45">
      <c r="A26" s="441">
        <v>12</v>
      </c>
      <c r="B26" s="435" t="s">
        <v>441</v>
      </c>
      <c r="C26" s="442" t="s">
        <v>58</v>
      </c>
      <c r="D26" s="441" t="s">
        <v>83</v>
      </c>
      <c r="E26" s="441" t="s">
        <v>160</v>
      </c>
      <c r="F26" s="443" t="s">
        <v>162</v>
      </c>
      <c r="G26" s="692" t="s">
        <v>427</v>
      </c>
      <c r="H26" s="403">
        <v>310</v>
      </c>
      <c r="I26" s="403">
        <v>4</v>
      </c>
      <c r="J26" s="404">
        <v>194</v>
      </c>
      <c r="K26" s="404">
        <f t="shared" si="0"/>
        <v>240560</v>
      </c>
      <c r="L26" s="404">
        <f t="shared" si="32"/>
        <v>12028</v>
      </c>
      <c r="M26" s="404">
        <f t="shared" si="2"/>
        <v>2919.1852864421535</v>
      </c>
      <c r="N26" s="405">
        <f t="shared" si="12"/>
        <v>255507.18528644217</v>
      </c>
      <c r="Q26" s="406">
        <v>310</v>
      </c>
      <c r="R26" s="407">
        <v>4</v>
      </c>
      <c r="S26" s="408">
        <v>194</v>
      </c>
      <c r="T26" s="408"/>
      <c r="U26" s="410">
        <f t="shared" si="33"/>
        <v>240560</v>
      </c>
      <c r="V26" s="411">
        <f t="shared" si="34"/>
        <v>0</v>
      </c>
      <c r="W26" s="412">
        <f t="shared" si="35"/>
        <v>0</v>
      </c>
      <c r="X26" s="412">
        <f t="shared" si="36"/>
        <v>0</v>
      </c>
      <c r="Y26" s="413">
        <f t="shared" si="17"/>
        <v>2919.1852864421535</v>
      </c>
      <c r="Z26" s="449">
        <f t="shared" si="37"/>
        <v>1</v>
      </c>
      <c r="AA26" s="525">
        <f t="shared" si="10"/>
        <v>0</v>
      </c>
      <c r="AB26" s="707">
        <f t="shared" si="19"/>
        <v>0</v>
      </c>
      <c r="AC26" s="627"/>
    </row>
    <row r="27" spans="1:42" ht="61.5" customHeight="1" x14ac:dyDescent="0.45">
      <c r="A27" s="441">
        <v>13</v>
      </c>
      <c r="B27" s="435" t="s">
        <v>442</v>
      </c>
      <c r="C27" s="442" t="s">
        <v>58</v>
      </c>
      <c r="D27" s="441" t="s">
        <v>83</v>
      </c>
      <c r="E27" s="441" t="s">
        <v>160</v>
      </c>
      <c r="F27" s="443" t="s">
        <v>162</v>
      </c>
      <c r="G27" s="692" t="s">
        <v>430</v>
      </c>
      <c r="H27" s="403">
        <v>69</v>
      </c>
      <c r="I27" s="403">
        <v>1</v>
      </c>
      <c r="J27" s="404">
        <v>85</v>
      </c>
      <c r="K27" s="404">
        <f t="shared" si="0"/>
        <v>5865</v>
      </c>
      <c r="L27" s="404">
        <f t="shared" si="32"/>
        <v>293.25</v>
      </c>
      <c r="M27" s="404">
        <f t="shared" si="2"/>
        <v>71.171523549148773</v>
      </c>
      <c r="N27" s="405">
        <f t="shared" si="12"/>
        <v>6229.4215235491483</v>
      </c>
      <c r="Q27" s="406">
        <v>69</v>
      </c>
      <c r="R27" s="407">
        <v>1</v>
      </c>
      <c r="S27" s="408">
        <v>85</v>
      </c>
      <c r="T27" s="408"/>
      <c r="U27" s="410">
        <f t="shared" si="33"/>
        <v>5865</v>
      </c>
      <c r="V27" s="411">
        <f t="shared" si="34"/>
        <v>0</v>
      </c>
      <c r="W27" s="412">
        <f t="shared" si="35"/>
        <v>0</v>
      </c>
      <c r="X27" s="412">
        <f t="shared" si="36"/>
        <v>0</v>
      </c>
      <c r="Y27" s="413">
        <f t="shared" si="17"/>
        <v>71.171523549148773</v>
      </c>
      <c r="Z27" s="449">
        <f t="shared" si="37"/>
        <v>1</v>
      </c>
      <c r="AA27" s="525">
        <f t="shared" si="10"/>
        <v>0</v>
      </c>
      <c r="AB27" s="707">
        <f t="shared" si="19"/>
        <v>0</v>
      </c>
      <c r="AC27" s="627"/>
    </row>
    <row r="28" spans="1:42" ht="61.5" customHeight="1" x14ac:dyDescent="0.45">
      <c r="A28" s="441">
        <v>14</v>
      </c>
      <c r="B28" s="435" t="s">
        <v>332</v>
      </c>
      <c r="C28" s="442" t="s">
        <v>58</v>
      </c>
      <c r="D28" s="441" t="s">
        <v>83</v>
      </c>
      <c r="E28" s="441" t="s">
        <v>160</v>
      </c>
      <c r="F28" s="443" t="s">
        <v>162</v>
      </c>
      <c r="G28" s="692" t="s">
        <v>431</v>
      </c>
      <c r="H28" s="403">
        <v>2</v>
      </c>
      <c r="I28" s="403">
        <v>1</v>
      </c>
      <c r="J28" s="404">
        <v>180</v>
      </c>
      <c r="K28" s="404">
        <f t="shared" si="0"/>
        <v>360</v>
      </c>
      <c r="L28" s="404">
        <f t="shared" si="32"/>
        <v>18</v>
      </c>
      <c r="M28" s="404">
        <f t="shared" si="2"/>
        <v>4.3685845656766507</v>
      </c>
      <c r="N28" s="405">
        <f t="shared" si="12"/>
        <v>382.36858456567666</v>
      </c>
      <c r="Q28" s="406">
        <v>2</v>
      </c>
      <c r="R28" s="407">
        <v>1</v>
      </c>
      <c r="S28" s="408">
        <v>180</v>
      </c>
      <c r="T28" s="408"/>
      <c r="U28" s="410">
        <f t="shared" si="33"/>
        <v>360</v>
      </c>
      <c r="V28" s="411">
        <f t="shared" si="34"/>
        <v>0</v>
      </c>
      <c r="W28" s="412">
        <f t="shared" si="35"/>
        <v>0</v>
      </c>
      <c r="X28" s="412">
        <f t="shared" si="36"/>
        <v>0</v>
      </c>
      <c r="Y28" s="413">
        <f t="shared" si="17"/>
        <v>4.3685845656766507</v>
      </c>
      <c r="Z28" s="449">
        <f t="shared" si="37"/>
        <v>1</v>
      </c>
      <c r="AA28" s="525">
        <f t="shared" si="10"/>
        <v>0</v>
      </c>
      <c r="AB28" s="707">
        <f t="shared" si="19"/>
        <v>0</v>
      </c>
      <c r="AC28" s="627"/>
    </row>
    <row r="29" spans="1:42" ht="127.5" customHeight="1" x14ac:dyDescent="0.45">
      <c r="A29" s="434">
        <v>15</v>
      </c>
      <c r="B29" s="435" t="s">
        <v>443</v>
      </c>
      <c r="C29" s="436" t="s">
        <v>58</v>
      </c>
      <c r="D29" s="434" t="s">
        <v>83</v>
      </c>
      <c r="E29" s="434" t="s">
        <v>160</v>
      </c>
      <c r="F29" s="443" t="s">
        <v>163</v>
      </c>
      <c r="G29" s="401" t="s">
        <v>469</v>
      </c>
      <c r="H29" s="403">
        <v>1</v>
      </c>
      <c r="I29" s="403">
        <v>1</v>
      </c>
      <c r="J29" s="404">
        <f>97870*2%+97870</f>
        <v>99827.4</v>
      </c>
      <c r="K29" s="404">
        <f t="shared" si="0"/>
        <v>99827.4</v>
      </c>
      <c r="L29" s="404">
        <f t="shared" si="1"/>
        <v>4991.37</v>
      </c>
      <c r="M29" s="404">
        <f t="shared" ref="M29:M32" si="38">IF(K29&lt;&gt;"",IF(E29="FAT.OGGI",SUM(K29:L29)*(1/(1-$M$14)-1),L29*(1/(1-$M$14)-1)),"")</f>
        <v>1211.4012190878591</v>
      </c>
      <c r="N29" s="405">
        <f t="shared" si="3"/>
        <v>106030.17121908785</v>
      </c>
      <c r="Q29" s="406">
        <v>1</v>
      </c>
      <c r="R29" s="407">
        <v>1</v>
      </c>
      <c r="S29" s="408">
        <v>99827.4</v>
      </c>
      <c r="T29" s="408"/>
      <c r="U29" s="410">
        <f t="shared" si="4"/>
        <v>99827.4</v>
      </c>
      <c r="V29" s="411">
        <f t="shared" si="5"/>
        <v>0</v>
      </c>
      <c r="W29" s="412">
        <f t="shared" si="6"/>
        <v>0</v>
      </c>
      <c r="X29" s="412">
        <f t="shared" si="7"/>
        <v>0</v>
      </c>
      <c r="Y29" s="413">
        <f t="shared" ref="Y29" si="39">IF(Q29&lt;&gt;"",X29+M29,"")</f>
        <v>1211.4012190878591</v>
      </c>
      <c r="Z29" s="462">
        <f t="shared" si="9"/>
        <v>1</v>
      </c>
      <c r="AA29" s="530">
        <f t="shared" si="10"/>
        <v>0</v>
      </c>
      <c r="AB29" s="707">
        <f t="shared" si="19"/>
        <v>0</v>
      </c>
      <c r="AC29" s="627"/>
    </row>
    <row r="30" spans="1:42" ht="49.05" customHeight="1" x14ac:dyDescent="0.45">
      <c r="A30" s="434">
        <v>16</v>
      </c>
      <c r="B30" s="435" t="s">
        <v>444</v>
      </c>
      <c r="C30" s="436" t="s">
        <v>58</v>
      </c>
      <c r="D30" s="434" t="s">
        <v>83</v>
      </c>
      <c r="E30" s="434" t="s">
        <v>160</v>
      </c>
      <c r="F30" s="443" t="s">
        <v>164</v>
      </c>
      <c r="G30" s="401" t="s">
        <v>408</v>
      </c>
      <c r="H30" s="403">
        <v>1</v>
      </c>
      <c r="I30" s="403">
        <v>2</v>
      </c>
      <c r="J30" s="404">
        <f>1500*2%+1500</f>
        <v>1530</v>
      </c>
      <c r="K30" s="404">
        <f t="shared" ref="K30" si="40">IF(F30&lt;&gt;"",H30*I30*J30,"")</f>
        <v>3060</v>
      </c>
      <c r="L30" s="404">
        <f t="shared" ref="L30" si="41">IF(K30&lt;&gt;"",IF(D30="INTERNO",0,K30*$L$14),"")</f>
        <v>153</v>
      </c>
      <c r="M30" s="404">
        <f t="shared" ref="M30:M31" si="42">IF(K30&lt;&gt;"",IF(E30="FAT.OGGI",SUM(K30:L30)*(1/(1-$M$14)-1),L30*(1/(1-$M$14)-1)),"")</f>
        <v>37.132968808251533</v>
      </c>
      <c r="N30" s="405">
        <f t="shared" ref="N30:N31" si="43">SUM(K30:M30)</f>
        <v>3250.1329688082515</v>
      </c>
      <c r="Q30" s="406">
        <v>1</v>
      </c>
      <c r="R30" s="407">
        <v>2</v>
      </c>
      <c r="S30" s="408">
        <v>1530</v>
      </c>
      <c r="T30" s="408"/>
      <c r="U30" s="410">
        <f t="shared" ref="U30" si="44">IF(Q30&lt;&gt;"",K30-T30,"")</f>
        <v>3060</v>
      </c>
      <c r="V30" s="411">
        <f t="shared" ref="V30" si="45">IF(Q30&lt;&gt;"",0%,"")</f>
        <v>0</v>
      </c>
      <c r="W30" s="412">
        <f t="shared" ref="W30" si="46">IF(Q30&lt;&gt;"",V30*U30,"")</f>
        <v>0</v>
      </c>
      <c r="X30" s="412">
        <f t="shared" ref="X30" si="47">IF(Q30&lt;&gt;"",W30+T30,"")</f>
        <v>0</v>
      </c>
      <c r="Y30" s="413">
        <f t="shared" ref="Y30" si="48">IF(Q30&lt;&gt;"",X30+M30,"")</f>
        <v>37.132968808251533</v>
      </c>
      <c r="Z30" s="462">
        <f t="shared" ref="Z30" si="49">IF(Q30&lt;&gt;"",U30/K30,"")</f>
        <v>1</v>
      </c>
      <c r="AA30" s="530">
        <f t="shared" si="10"/>
        <v>0</v>
      </c>
      <c r="AB30" s="707">
        <f t="shared" si="19"/>
        <v>0</v>
      </c>
      <c r="AC30" s="627"/>
    </row>
    <row r="31" spans="1:42" ht="79.5" customHeight="1" x14ac:dyDescent="0.45">
      <c r="A31" s="370">
        <v>17</v>
      </c>
      <c r="B31" s="435" t="s">
        <v>445</v>
      </c>
      <c r="C31" s="437" t="s">
        <v>58</v>
      </c>
      <c r="D31" s="370" t="s">
        <v>83</v>
      </c>
      <c r="E31" s="370" t="s">
        <v>160</v>
      </c>
      <c r="F31" s="443" t="s">
        <v>165</v>
      </c>
      <c r="G31" s="401" t="s">
        <v>166</v>
      </c>
      <c r="H31" s="451">
        <v>310</v>
      </c>
      <c r="I31" s="451">
        <v>3</v>
      </c>
      <c r="J31" s="452">
        <v>55</v>
      </c>
      <c r="K31" s="404">
        <f t="shared" ref="K31:K32" si="50">IF(F31&lt;&gt;"",H31*I31*J31,"")</f>
        <v>51150</v>
      </c>
      <c r="L31" s="452">
        <f t="shared" si="1"/>
        <v>2557.5</v>
      </c>
      <c r="M31" s="404">
        <f t="shared" si="42"/>
        <v>620.70305703989084</v>
      </c>
      <c r="N31" s="405">
        <f t="shared" si="43"/>
        <v>54328.203057039893</v>
      </c>
      <c r="Q31" s="406">
        <v>310</v>
      </c>
      <c r="R31" s="407">
        <v>3</v>
      </c>
      <c r="S31" s="408">
        <v>55</v>
      </c>
      <c r="T31" s="408"/>
      <c r="U31" s="410">
        <f t="shared" si="4"/>
        <v>51150</v>
      </c>
      <c r="V31" s="411">
        <f t="shared" si="5"/>
        <v>0</v>
      </c>
      <c r="W31" s="412">
        <f t="shared" si="6"/>
        <v>0</v>
      </c>
      <c r="X31" s="412">
        <f t="shared" si="7"/>
        <v>0</v>
      </c>
      <c r="Y31" s="413">
        <f t="shared" si="8"/>
        <v>620.70305703989084</v>
      </c>
      <c r="Z31" s="449">
        <f t="shared" si="9"/>
        <v>1</v>
      </c>
      <c r="AA31" s="530">
        <f t="shared" si="10"/>
        <v>0</v>
      </c>
      <c r="AB31" s="707">
        <f t="shared" si="19"/>
        <v>0</v>
      </c>
      <c r="AC31" s="627"/>
    </row>
    <row r="32" spans="1:42" ht="312.75" customHeight="1" x14ac:dyDescent="0.45">
      <c r="A32" s="434">
        <v>18</v>
      </c>
      <c r="B32" s="435" t="s">
        <v>446</v>
      </c>
      <c r="C32" s="436" t="s">
        <v>58</v>
      </c>
      <c r="D32" s="434" t="s">
        <v>83</v>
      </c>
      <c r="E32" s="370" t="s">
        <v>160</v>
      </c>
      <c r="F32" s="443" t="s">
        <v>365</v>
      </c>
      <c r="G32" s="401" t="s">
        <v>432</v>
      </c>
      <c r="H32" s="451">
        <v>1</v>
      </c>
      <c r="I32" s="451">
        <v>1</v>
      </c>
      <c r="J32" s="693">
        <f>8634+59</f>
        <v>8693</v>
      </c>
      <c r="K32" s="404">
        <f t="shared" si="50"/>
        <v>8693</v>
      </c>
      <c r="L32" s="452">
        <f t="shared" si="1"/>
        <v>434.65000000000003</v>
      </c>
      <c r="M32" s="452">
        <f t="shared" si="38"/>
        <v>105.48918230396426</v>
      </c>
      <c r="N32" s="445">
        <f t="shared" si="3"/>
        <v>9233.139182303963</v>
      </c>
      <c r="Q32" s="406">
        <v>1</v>
      </c>
      <c r="R32" s="407">
        <v>1</v>
      </c>
      <c r="S32" s="420">
        <v>8693</v>
      </c>
      <c r="T32" s="408"/>
      <c r="U32" s="410">
        <f t="shared" si="4"/>
        <v>8693</v>
      </c>
      <c r="V32" s="411">
        <f t="shared" si="5"/>
        <v>0</v>
      </c>
      <c r="W32" s="412">
        <f>IF(Q32&lt;&gt;"",V32*U32,"")</f>
        <v>0</v>
      </c>
      <c r="X32" s="412">
        <f t="shared" si="7"/>
        <v>0</v>
      </c>
      <c r="Y32" s="413">
        <f t="shared" si="8"/>
        <v>105.48918230396426</v>
      </c>
      <c r="Z32" s="449">
        <f t="shared" si="9"/>
        <v>1</v>
      </c>
      <c r="AA32" s="530">
        <f t="shared" si="10"/>
        <v>0</v>
      </c>
      <c r="AB32" s="707">
        <f t="shared" si="19"/>
        <v>0</v>
      </c>
      <c r="AC32" s="627"/>
    </row>
    <row r="33" spans="1:29" s="562" customFormat="1" ht="30.75" customHeight="1" x14ac:dyDescent="0.3">
      <c r="A33" s="434">
        <v>19</v>
      </c>
      <c r="B33" s="435"/>
      <c r="C33" s="436" t="s">
        <v>75</v>
      </c>
      <c r="D33" s="434"/>
      <c r="E33" s="434"/>
      <c r="F33" s="234" t="s">
        <v>168</v>
      </c>
      <c r="G33" s="235"/>
      <c r="H33" s="236"/>
      <c r="I33" s="236"/>
      <c r="J33" s="235"/>
      <c r="K33" s="237">
        <f>SUM(K17:K32)</f>
        <v>753767.6</v>
      </c>
      <c r="L33" s="237">
        <f>SUM(L17:L32)</f>
        <v>37688.380000000005</v>
      </c>
      <c r="M33" s="237">
        <f>SUM(M17:M32)</f>
        <v>9146.9375096309213</v>
      </c>
      <c r="N33" s="238">
        <f>SUM(N17:N32)</f>
        <v>800602.91750963079</v>
      </c>
      <c r="Q33" s="932" t="s">
        <v>76</v>
      </c>
      <c r="R33" s="933"/>
      <c r="S33" s="933"/>
      <c r="T33" s="217">
        <f>SUM(T17:T32)</f>
        <v>872253.4</v>
      </c>
      <c r="U33" s="218">
        <f>SUM(U17:U32)</f>
        <v>-118485.79999999996</v>
      </c>
      <c r="V33" s="694"/>
      <c r="W33" s="694"/>
      <c r="X33" s="219">
        <f>SUM(X17:X32)</f>
        <v>872253.4</v>
      </c>
      <c r="Y33" s="179">
        <f t="shared" si="8"/>
        <v>881400.33750963095</v>
      </c>
      <c r="AB33" s="707"/>
      <c r="AC33" s="626"/>
    </row>
    <row r="34" spans="1:29" ht="30.75" customHeight="1" thickBot="1" x14ac:dyDescent="0.5">
      <c r="A34" s="370">
        <v>20</v>
      </c>
      <c r="B34" s="435">
        <v>2</v>
      </c>
      <c r="C34" s="437" t="s">
        <v>49</v>
      </c>
      <c r="D34" s="370"/>
      <c r="E34" s="370"/>
      <c r="F34" s="929" t="s">
        <v>169</v>
      </c>
      <c r="G34" s="930"/>
      <c r="H34" s="930"/>
      <c r="I34" s="930"/>
      <c r="J34" s="930"/>
      <c r="K34" s="930"/>
      <c r="L34" s="930"/>
      <c r="M34" s="930"/>
      <c r="N34" s="931"/>
      <c r="Q34" s="880" t="str">
        <f>IF(F34&lt;&gt;"",F34,"")</f>
        <v>HAPPY HOUR</v>
      </c>
      <c r="R34" s="881"/>
      <c r="S34" s="881"/>
      <c r="T34" s="881"/>
      <c r="U34" s="881"/>
      <c r="V34" s="881"/>
      <c r="W34" s="881"/>
      <c r="X34" s="881"/>
      <c r="Y34" s="882"/>
      <c r="AB34" s="707">
        <f t="shared" si="19"/>
        <v>0</v>
      </c>
      <c r="AC34" s="627"/>
    </row>
    <row r="35" spans="1:29" ht="30.75" customHeight="1" thickBot="1" x14ac:dyDescent="0.5">
      <c r="A35" s="370">
        <v>21</v>
      </c>
      <c r="B35" s="435" t="s">
        <v>97</v>
      </c>
      <c r="C35" s="437" t="s">
        <v>52</v>
      </c>
      <c r="D35" s="370"/>
      <c r="E35" s="370"/>
      <c r="F35" s="224" t="s">
        <v>170</v>
      </c>
      <c r="G35" s="225"/>
      <c r="H35" s="226"/>
      <c r="I35" s="226"/>
      <c r="J35" s="225"/>
      <c r="K35" s="225"/>
      <c r="L35" s="695" t="s">
        <v>54</v>
      </c>
      <c r="M35" s="695" t="s">
        <v>55</v>
      </c>
      <c r="N35" s="696" t="s">
        <v>29</v>
      </c>
      <c r="Q35" s="888" t="str">
        <f>IF(F35&lt;&gt;"",F35,"")</f>
        <v>A&amp;B Festas</v>
      </c>
      <c r="R35" s="875"/>
      <c r="S35" s="875"/>
      <c r="T35" s="875"/>
      <c r="U35" s="875"/>
      <c r="V35" s="875"/>
      <c r="W35" s="875"/>
      <c r="X35" s="875"/>
      <c r="Y35" s="889"/>
      <c r="Z35" s="697" t="s">
        <v>56</v>
      </c>
      <c r="AA35" s="622" t="s">
        <v>40</v>
      </c>
      <c r="AB35" s="707">
        <f t="shared" si="19"/>
        <v>0</v>
      </c>
      <c r="AC35" s="627"/>
    </row>
    <row r="36" spans="1:29" s="394" customFormat="1" ht="90.6" thickTop="1" x14ac:dyDescent="0.3">
      <c r="A36" s="391">
        <v>22</v>
      </c>
      <c r="B36" s="392" t="s">
        <v>98</v>
      </c>
      <c r="C36" s="393" t="s">
        <v>58</v>
      </c>
      <c r="D36" s="391" t="s">
        <v>83</v>
      </c>
      <c r="E36" s="391" t="s">
        <v>60</v>
      </c>
      <c r="F36" s="400" t="s">
        <v>90</v>
      </c>
      <c r="G36" s="401" t="s">
        <v>434</v>
      </c>
      <c r="H36" s="403">
        <v>1</v>
      </c>
      <c r="I36" s="403">
        <v>3</v>
      </c>
      <c r="J36" s="404">
        <v>2000</v>
      </c>
      <c r="K36" s="404">
        <f>IF(F36&lt;&gt;"",H36*I36*J36,"")+315</f>
        <v>6315</v>
      </c>
      <c r="L36" s="404">
        <f>IF(K36&lt;&gt;"",IF(D36="INTERNO",0,K36*$L$14),"")</f>
        <v>315.75</v>
      </c>
      <c r="M36" s="404">
        <f t="shared" ref="M36" si="51">IF(K36&lt;&gt;"",IF(E36="FAT.OGGI",SUM(K36:L36)*(1/(1-$M$14)-1),L36*(1/(1-$M$14)-1)),"")</f>
        <v>1609.2773393811362</v>
      </c>
      <c r="N36" s="405">
        <f t="shared" ref="N36" si="52">SUM(K36:M36)</f>
        <v>8240.0273393811367</v>
      </c>
      <c r="Q36" s="406">
        <v>1</v>
      </c>
      <c r="R36" s="407">
        <v>3</v>
      </c>
      <c r="S36" s="420">
        <v>2000</v>
      </c>
      <c r="T36" s="408"/>
      <c r="U36" s="410">
        <f t="shared" ref="U36" si="53">IF(Q36&lt;&gt;"",K36-T36,"")</f>
        <v>6315</v>
      </c>
      <c r="V36" s="411">
        <f t="shared" ref="V36" si="54">IF(Q36&lt;&gt;"",0%,"")</f>
        <v>0</v>
      </c>
      <c r="W36" s="412">
        <f t="shared" ref="W36" si="55">IF(Q36&lt;&gt;"",V36*U36,"")</f>
        <v>0</v>
      </c>
      <c r="X36" s="412">
        <f t="shared" ref="X36" si="56">IF(Q36&lt;&gt;"",W36+T36,"")</f>
        <v>0</v>
      </c>
      <c r="Y36" s="413">
        <f t="shared" ref="Y36" si="57">IF(Q36&lt;&gt;"",X36+M36,"")</f>
        <v>1609.2773393811362</v>
      </c>
      <c r="Z36" s="414">
        <f t="shared" ref="Z36" si="58">IF(Q36&lt;&gt;"",U36/K36,"")</f>
        <v>1</v>
      </c>
      <c r="AA36" s="522" t="e">
        <f t="shared" ref="AA36" si="59">T36/$T$26</f>
        <v>#DIV/0!</v>
      </c>
      <c r="AB36" s="707">
        <f t="shared" si="19"/>
        <v>0</v>
      </c>
      <c r="AC36" s="626"/>
    </row>
    <row r="37" spans="1:29" ht="43.05" customHeight="1" x14ac:dyDescent="0.45">
      <c r="A37" s="370">
        <v>23</v>
      </c>
      <c r="B37" s="435" t="s">
        <v>101</v>
      </c>
      <c r="C37" s="437" t="s">
        <v>58</v>
      </c>
      <c r="D37" s="370" t="s">
        <v>83</v>
      </c>
      <c r="E37" s="370" t="s">
        <v>160</v>
      </c>
      <c r="F37" s="698" t="s">
        <v>172</v>
      </c>
      <c r="G37" s="699" t="s">
        <v>173</v>
      </c>
      <c r="H37" s="689">
        <v>1</v>
      </c>
      <c r="I37" s="689">
        <v>1</v>
      </c>
      <c r="J37" s="496">
        <f>12750*2%+12750</f>
        <v>13005</v>
      </c>
      <c r="K37" s="495">
        <f>IF(F37&lt;&gt;"",H37*I37*J37,"")</f>
        <v>13005</v>
      </c>
      <c r="L37" s="496">
        <f t="shared" ref="L37:L38" si="60">IF(K37&lt;&gt;"",IF(D37="INTERNO",0,K37*$L$14),"")</f>
        <v>650.25</v>
      </c>
      <c r="M37" s="496">
        <f t="shared" ref="M37:M38" si="61">IF(K37&lt;&gt;"",IF(E37="FAT.OGGI",SUM(K37:L37)*(1/(1-$M$14)-1),L37*(1/(1-$M$14)-1)),"")</f>
        <v>157.81511743506903</v>
      </c>
      <c r="N37" s="497">
        <f>SUM(K37:M37)</f>
        <v>13813.06511743507</v>
      </c>
      <c r="Q37" s="406">
        <v>1</v>
      </c>
      <c r="R37" s="407">
        <v>1</v>
      </c>
      <c r="S37" s="408">
        <v>13005</v>
      </c>
      <c r="T37" s="408"/>
      <c r="U37" s="410">
        <f t="shared" ref="U37:U38" si="62">IF(Q37&lt;&gt;"",K37-T37,"")</f>
        <v>13005</v>
      </c>
      <c r="V37" s="411">
        <f t="shared" ref="V37:V38" si="63">IF(Q37&lt;&gt;"",0%,"")</f>
        <v>0</v>
      </c>
      <c r="W37" s="412">
        <f t="shared" ref="W37:W38" si="64">IF(Q37&lt;&gt;"",V37*U37,"")</f>
        <v>0</v>
      </c>
      <c r="X37" s="412">
        <f t="shared" ref="X37:X38" si="65">IF(Q37&lt;&gt;"",W37+T37,"")</f>
        <v>0</v>
      </c>
      <c r="Y37" s="413">
        <f t="shared" ref="Y37:Y40" si="66">IF(Q37&lt;&gt;"",X37+M37,"")</f>
        <v>157.81511743506903</v>
      </c>
      <c r="Z37" s="449">
        <f t="shared" ref="Z37:Z38" si="67">IF(Q37&lt;&gt;"",U37/K37,"")</f>
        <v>1</v>
      </c>
      <c r="AA37" s="525" t="e">
        <f>T37/$T$40</f>
        <v>#DIV/0!</v>
      </c>
      <c r="AB37" s="707">
        <f t="shared" si="19"/>
        <v>0</v>
      </c>
      <c r="AC37" s="627"/>
    </row>
    <row r="38" spans="1:29" ht="74.099999999999994" customHeight="1" x14ac:dyDescent="0.45">
      <c r="A38" s="370">
        <v>24</v>
      </c>
      <c r="B38" s="435" t="s">
        <v>103</v>
      </c>
      <c r="C38" s="437" t="s">
        <v>58</v>
      </c>
      <c r="D38" s="370" t="s">
        <v>83</v>
      </c>
      <c r="E38" s="370" t="s">
        <v>160</v>
      </c>
      <c r="F38" s="443" t="s">
        <v>372</v>
      </c>
      <c r="G38" s="401" t="s">
        <v>409</v>
      </c>
      <c r="H38" s="403">
        <v>1</v>
      </c>
      <c r="I38" s="403">
        <v>1</v>
      </c>
      <c r="J38" s="404">
        <v>5000</v>
      </c>
      <c r="K38" s="404">
        <f t="shared" ref="K38" si="68">IF(F38&lt;&gt;"",H38*I38*J38,"")</f>
        <v>5000</v>
      </c>
      <c r="L38" s="404">
        <f t="shared" si="60"/>
        <v>250</v>
      </c>
      <c r="M38" s="404">
        <f t="shared" si="61"/>
        <v>60.674785634397935</v>
      </c>
      <c r="N38" s="405">
        <f>SUM(K38:M38)</f>
        <v>5310.6747856343982</v>
      </c>
      <c r="Q38" s="406">
        <v>1</v>
      </c>
      <c r="R38" s="407">
        <v>1</v>
      </c>
      <c r="S38" s="408">
        <v>5000</v>
      </c>
      <c r="T38" s="408"/>
      <c r="U38" s="410">
        <f t="shared" si="62"/>
        <v>5000</v>
      </c>
      <c r="V38" s="411">
        <f t="shared" si="63"/>
        <v>0</v>
      </c>
      <c r="W38" s="412">
        <f t="shared" si="64"/>
        <v>0</v>
      </c>
      <c r="X38" s="412">
        <f t="shared" si="65"/>
        <v>0</v>
      </c>
      <c r="Y38" s="413">
        <f t="shared" si="66"/>
        <v>60.674785634397935</v>
      </c>
      <c r="Z38" s="449">
        <f t="shared" si="67"/>
        <v>1</v>
      </c>
      <c r="AA38" s="525" t="e">
        <f>T38/$T$40</f>
        <v>#DIV/0!</v>
      </c>
      <c r="AB38" s="707">
        <f t="shared" si="19"/>
        <v>0</v>
      </c>
      <c r="AC38" s="627"/>
    </row>
    <row r="39" spans="1:29" ht="108" x14ac:dyDescent="0.45">
      <c r="A39" s="370">
        <v>25</v>
      </c>
      <c r="B39" s="435" t="s">
        <v>106</v>
      </c>
      <c r="C39" s="437" t="s">
        <v>58</v>
      </c>
      <c r="D39" s="370" t="s">
        <v>83</v>
      </c>
      <c r="E39" s="370" t="s">
        <v>160</v>
      </c>
      <c r="F39" s="443" t="s">
        <v>174</v>
      </c>
      <c r="G39" s="401" t="s">
        <v>433</v>
      </c>
      <c r="H39" s="700">
        <v>310</v>
      </c>
      <c r="I39" s="700">
        <v>1</v>
      </c>
      <c r="J39" s="404">
        <v>240</v>
      </c>
      <c r="K39" s="404">
        <f t="shared" ref="K39" si="69">IF(F39&lt;&gt;"",H39*I39*J39,"")</f>
        <v>74400</v>
      </c>
      <c r="L39" s="404">
        <f t="shared" ref="L39" si="70">IF(K39&lt;&gt;"",IF(D39="INTERNO",0,K39*$L$14),"")</f>
        <v>3720</v>
      </c>
      <c r="M39" s="404">
        <f t="shared" ref="M39" si="71">IF(K39&lt;&gt;"",IF(E39="FAT.OGGI",SUM(K39:L39)*(1/(1-$M$14)-1),L39*(1/(1-$M$14)-1)),"")</f>
        <v>902.84081023984118</v>
      </c>
      <c r="N39" s="405">
        <f>SUM(K39:M39)</f>
        <v>79022.840810239839</v>
      </c>
      <c r="Q39" s="406">
        <v>310</v>
      </c>
      <c r="R39" s="407">
        <v>1</v>
      </c>
      <c r="S39" s="408">
        <v>240</v>
      </c>
      <c r="T39" s="408"/>
      <c r="U39" s="410">
        <f t="shared" ref="U39" si="72">IF(Q39&lt;&gt;"",K39-T39,"")</f>
        <v>74400</v>
      </c>
      <c r="V39" s="411">
        <f t="shared" ref="V39" si="73">IF(Q39&lt;&gt;"",0%,"")</f>
        <v>0</v>
      </c>
      <c r="W39" s="412">
        <f t="shared" ref="W39" si="74">IF(Q39&lt;&gt;"",V39*U39,"")</f>
        <v>0</v>
      </c>
      <c r="X39" s="412">
        <f t="shared" ref="X39" si="75">IF(Q39&lt;&gt;"",W39+T39,"")</f>
        <v>0</v>
      </c>
      <c r="Y39" s="413">
        <f t="shared" ref="Y39" si="76">IF(Q39&lt;&gt;"",X39+M39,"")</f>
        <v>902.84081023984118</v>
      </c>
      <c r="Z39" s="449">
        <f t="shared" ref="Z39" si="77">IF(Q39&lt;&gt;"",U39/K39,"")</f>
        <v>1</v>
      </c>
      <c r="AA39" s="525" t="e">
        <f>T39/$T$40</f>
        <v>#DIV/0!</v>
      </c>
      <c r="AB39" s="707">
        <f t="shared" si="19"/>
        <v>0</v>
      </c>
      <c r="AC39" s="627"/>
    </row>
    <row r="40" spans="1:29" ht="31.5" customHeight="1" x14ac:dyDescent="0.45">
      <c r="A40" s="370">
        <v>26</v>
      </c>
      <c r="B40" s="435"/>
      <c r="C40" s="437" t="s">
        <v>75</v>
      </c>
      <c r="D40" s="370"/>
      <c r="E40" s="370"/>
      <c r="F40" s="239" t="s">
        <v>175</v>
      </c>
      <c r="G40" s="240"/>
      <c r="H40" s="241"/>
      <c r="I40" s="241"/>
      <c r="J40" s="240"/>
      <c r="K40" s="242">
        <f>SUM(K36:K39)</f>
        <v>98720</v>
      </c>
      <c r="L40" s="242">
        <f>SUM(L36:L39)</f>
        <v>4936</v>
      </c>
      <c r="M40" s="242">
        <f>SUM(M36:M39)</f>
        <v>2730.6080526904443</v>
      </c>
      <c r="N40" s="242">
        <f>SUM(N36:N39)</f>
        <v>106386.60805269044</v>
      </c>
      <c r="Q40" s="888" t="s">
        <v>76</v>
      </c>
      <c r="R40" s="875"/>
      <c r="S40" s="875"/>
      <c r="T40" s="220">
        <f>SUM(T36:T39)</f>
        <v>0</v>
      </c>
      <c r="U40" s="221">
        <f>SUM(U36:U39)</f>
        <v>98720</v>
      </c>
      <c r="V40" s="701"/>
      <c r="W40" s="701"/>
      <c r="X40" s="222">
        <f>SUM(X36:X39)</f>
        <v>0</v>
      </c>
      <c r="Y40" s="223">
        <f t="shared" si="66"/>
        <v>2730.6080526904443</v>
      </c>
      <c r="Z40" s="621" t="s">
        <v>77</v>
      </c>
      <c r="AA40" s="621" t="s">
        <v>78</v>
      </c>
      <c r="AB40" s="707"/>
      <c r="AC40" s="627"/>
    </row>
    <row r="41" spans="1:29" ht="31.5" customHeight="1" thickBot="1" x14ac:dyDescent="0.5">
      <c r="A41" s="441">
        <v>27</v>
      </c>
      <c r="B41" s="511"/>
      <c r="C41" s="442" t="s">
        <v>79</v>
      </c>
      <c r="D41" s="441"/>
      <c r="E41" s="441"/>
      <c r="F41" s="702" t="s">
        <v>80</v>
      </c>
      <c r="G41" s="703"/>
      <c r="H41" s="704"/>
      <c r="I41" s="704"/>
      <c r="J41" s="705"/>
      <c r="K41" s="706">
        <f>SUM(K17:K32)+SUM(K36:K39)</f>
        <v>852487.6</v>
      </c>
      <c r="L41" s="706">
        <f>SUM(L17:L32)+SUM(L36:L39)</f>
        <v>42624.380000000005</v>
      </c>
      <c r="M41" s="706">
        <f>SUM(M17:M32)+SUM(M36:M39)</f>
        <v>11877.545562321366</v>
      </c>
      <c r="N41" s="706">
        <f>SUM(N17:N32)+SUM(N36:N39)</f>
        <v>906989.52556232119</v>
      </c>
      <c r="Q41" s="517" t="s">
        <v>81</v>
      </c>
      <c r="R41" s="514"/>
      <c r="S41" s="513"/>
      <c r="T41" s="515">
        <f>SUM(T17:T32)+SUM(T36:T39)</f>
        <v>872253.4</v>
      </c>
      <c r="U41" s="515">
        <f>SUM(U17:U32)+SUM(U36:U39)</f>
        <v>-19765.799999999959</v>
      </c>
      <c r="V41" s="513"/>
      <c r="W41" s="513"/>
      <c r="X41" s="515">
        <f>SUM(X17:X32)+SUM(X36:X39)</f>
        <v>872253.4</v>
      </c>
      <c r="Y41" s="516">
        <f>SUM(Y17:Y32)+SUM(Y36:Y39)</f>
        <v>884130.94556232158</v>
      </c>
      <c r="Z41" s="518">
        <f>IF(Q41&lt;&gt;"",(N41-Y41)/N41,"")</f>
        <v>2.5202694579992642E-2</v>
      </c>
      <c r="AA41" s="531">
        <f>IF(Z41&lt;&gt;"",(N41-Y41),"")</f>
        <v>22858.579999999609</v>
      </c>
      <c r="AB41" s="707">
        <f>SUM(AB17:AB40)</f>
        <v>0</v>
      </c>
      <c r="AC41" s="627">
        <f>SUM(AC17:AC40)</f>
        <v>872253.39999999991</v>
      </c>
    </row>
    <row r="42" spans="1:29" ht="18.600000000000001" thickTop="1" x14ac:dyDescent="0.35"/>
    <row r="44" spans="1:29" ht="28.8" x14ac:dyDescent="0.55000000000000004">
      <c r="AB44" s="771">
        <v>0</v>
      </c>
      <c r="AC44" s="767" t="s">
        <v>54</v>
      </c>
    </row>
    <row r="45" spans="1:29" ht="28.8" x14ac:dyDescent="0.55000000000000004">
      <c r="AB45" s="771">
        <v>0</v>
      </c>
      <c r="AC45" s="767" t="s">
        <v>55</v>
      </c>
    </row>
    <row r="46" spans="1:29" ht="28.8" x14ac:dyDescent="0.55000000000000004">
      <c r="AB46" s="771">
        <f>X41</f>
        <v>872253.4</v>
      </c>
      <c r="AC46" s="767" t="s">
        <v>468</v>
      </c>
    </row>
    <row r="47" spans="1:29" ht="28.8" x14ac:dyDescent="0.55000000000000004">
      <c r="AB47" s="769">
        <f>N41-AB46</f>
        <v>34736.125562321162</v>
      </c>
      <c r="AC47" s="768" t="s">
        <v>457</v>
      </c>
    </row>
    <row r="48" spans="1:29" ht="28.8" x14ac:dyDescent="0.55000000000000004">
      <c r="AB48" s="770">
        <f>AB47*100%/X41</f>
        <v>3.9823433835077242E-2</v>
      </c>
      <c r="AC48" s="768"/>
    </row>
  </sheetData>
  <mergeCells count="13">
    <mergeCell ref="AH12:AI12"/>
    <mergeCell ref="Q12:T12"/>
    <mergeCell ref="AB14:AC14"/>
    <mergeCell ref="Q15:Y15"/>
    <mergeCell ref="Q16:Y16"/>
    <mergeCell ref="U12:X12"/>
    <mergeCell ref="AD12:AF12"/>
    <mergeCell ref="Q40:S40"/>
    <mergeCell ref="F15:N15"/>
    <mergeCell ref="F34:N34"/>
    <mergeCell ref="Q34:Y34"/>
    <mergeCell ref="Q35:Y35"/>
    <mergeCell ref="Q33:S33"/>
  </mergeCells>
  <dataValidations count="3">
    <dataValidation type="list" allowBlank="1" showInputMessage="1" showErrorMessage="1" sqref="D41 D36:D39 D17:D32" xr:uid="{0D819624-4327-4416-9744-CEA1EACE11B9}">
      <formula1>"INTERNO,OPERACIONAL"</formula1>
    </dataValidation>
    <dataValidation type="list" allowBlank="1" showInputMessage="1" showErrorMessage="1" sqref="E36:E39 E17:E32" xr:uid="{8E7915AC-75EB-450B-9A46-BE5C62B01BFE}">
      <formula1>"FAT.OGGI,FAT.CLIENTE"</formula1>
    </dataValidation>
    <dataValidation type="list" allowBlank="1" showInputMessage="1" showErrorMessage="1" sqref="E41" xr:uid="{23F195C0-C3E0-4B11-8E77-040902F35CB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34746-EA04-439A-9326-FC5F2361D338}">
  <sheetPr codeName="Planilha20">
    <tabColor theme="0"/>
    <pageSetUpPr autoPageBreaks="0"/>
  </sheetPr>
  <dimension ref="A1:AL23"/>
  <sheetViews>
    <sheetView showGridLines="0" zoomScale="80" zoomScaleNormal="80" workbookViewId="0">
      <pane ySplit="1" topLeftCell="A6" activePane="bottomLeft" state="frozen"/>
      <selection activeCell="AC1" sqref="AC1"/>
      <selection pane="bottomLeft" activeCell="L32" sqref="L32"/>
    </sheetView>
  </sheetViews>
  <sheetFormatPr defaultRowHeight="14.4" x14ac:dyDescent="0.3"/>
  <cols>
    <col min="1" max="1" width="5.77734375" customWidth="1"/>
    <col min="2" max="2" width="8.21875" customWidth="1"/>
    <col min="3" max="3" width="14.21875" customWidth="1"/>
    <col min="4" max="4" width="13.44140625" customWidth="1"/>
    <col min="5" max="5" width="13.77734375" customWidth="1"/>
    <col min="6" max="6" width="33.21875" customWidth="1"/>
    <col min="7" max="7" width="54.77734375" customWidth="1"/>
    <col min="8" max="8" width="7.77734375" style="53" customWidth="1"/>
    <col min="9" max="9" width="9.44140625" style="53" customWidth="1"/>
    <col min="10" max="10" width="20.21875" customWidth="1"/>
    <col min="11" max="11" width="25.21875" customWidth="1"/>
    <col min="12" max="13" width="24.77734375" customWidth="1"/>
    <col min="14" max="14" width="26" customWidth="1"/>
    <col min="15" max="15" width="3.21875" customWidth="1"/>
    <col min="16" max="16" width="4.21875" customWidth="1"/>
    <col min="17" max="17" width="8.77734375" style="53" customWidth="1"/>
    <col min="18" max="18" width="11.21875" style="53" customWidth="1"/>
    <col min="19" max="19" width="24.21875" customWidth="1"/>
    <col min="20" max="20" width="28.77734375" customWidth="1"/>
    <col min="21" max="23" width="28.21875" customWidth="1"/>
    <col min="24" max="25" width="27.77734375" customWidth="1"/>
    <col min="26" max="26" width="18.5546875" customWidth="1"/>
    <col min="27" max="27" width="27.77734375" customWidth="1"/>
    <col min="28" max="28" width="48.44140625" customWidth="1"/>
    <col min="29" max="30" width="33" customWidth="1"/>
    <col min="31" max="31" width="28" customWidth="1"/>
    <col min="32" max="32" width="1.21875" customWidth="1"/>
    <col min="33" max="33" width="81.5546875" customWidth="1"/>
    <col min="34" max="34" width="36.77734375" customWidth="1"/>
    <col min="35" max="35" width="1.5546875" customWidth="1"/>
    <col min="36" max="36" width="20.21875" customWidth="1"/>
    <col min="37" max="37" width="25.21875" bestFit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104"/>
      <c r="C1" s="105"/>
      <c r="D1" s="105"/>
      <c r="F1" s="959" t="s">
        <v>0</v>
      </c>
      <c r="G1" s="959"/>
    </row>
    <row r="2" spans="1:38" ht="24.75" customHeight="1" x14ac:dyDescent="0.3">
      <c r="B2" s="53"/>
      <c r="D2" s="105"/>
      <c r="F2" s="960" t="s">
        <v>1</v>
      </c>
      <c r="G2" s="960"/>
    </row>
    <row r="3" spans="1:38" ht="18" x14ac:dyDescent="0.35">
      <c r="B3" s="106"/>
      <c r="F3" s="89"/>
      <c r="G3" s="89"/>
    </row>
    <row r="4" spans="1:38" ht="18" x14ac:dyDescent="0.3">
      <c r="F4" s="94" t="s">
        <v>176</v>
      </c>
      <c r="G4" s="95"/>
    </row>
    <row r="5" spans="1:38" ht="18" x14ac:dyDescent="0.3">
      <c r="F5" s="96" t="s">
        <v>177</v>
      </c>
      <c r="G5" s="97"/>
    </row>
    <row r="6" spans="1:38" ht="18" x14ac:dyDescent="0.3">
      <c r="F6" s="96" t="s">
        <v>178</v>
      </c>
      <c r="G6" s="98"/>
    </row>
    <row r="7" spans="1:38" ht="21.75" customHeight="1" x14ac:dyDescent="0.3">
      <c r="F7" s="96" t="s">
        <v>179</v>
      </c>
      <c r="G7" s="99"/>
    </row>
    <row r="8" spans="1:38" ht="18" x14ac:dyDescent="0.3">
      <c r="F8" s="96" t="s">
        <v>180</v>
      </c>
      <c r="G8" s="100"/>
    </row>
    <row r="9" spans="1:38" ht="18" x14ac:dyDescent="0.3">
      <c r="F9" s="96" t="s">
        <v>7</v>
      </c>
      <c r="G9" s="99"/>
      <c r="M9">
        <v>0.80469999999999997</v>
      </c>
    </row>
    <row r="10" spans="1:38" ht="27" customHeight="1" x14ac:dyDescent="0.3">
      <c r="F10" s="96" t="s">
        <v>181</v>
      </c>
      <c r="G10" s="99"/>
      <c r="M10">
        <f>1-M9</f>
        <v>0.19530000000000003</v>
      </c>
    </row>
    <row r="11" spans="1:38" ht="18.600000000000001" thickBot="1" x14ac:dyDescent="0.35">
      <c r="F11" s="101" t="s">
        <v>182</v>
      </c>
      <c r="G11" s="102"/>
    </row>
    <row r="12" spans="1:38" ht="16.8" thickBot="1" x14ac:dyDescent="0.35">
      <c r="B12" s="77"/>
      <c r="M12" s="84"/>
      <c r="Q12" s="961" t="s">
        <v>11</v>
      </c>
      <c r="R12" s="962"/>
      <c r="S12" s="962"/>
      <c r="T12" s="963"/>
      <c r="U12" s="947" t="s">
        <v>12</v>
      </c>
      <c r="V12" s="948"/>
      <c r="W12" s="948"/>
      <c r="X12" s="949"/>
      <c r="Y12" s="86" t="s">
        <v>13</v>
      </c>
      <c r="Z12" s="210">
        <f>(1/(1-M14))-1</f>
        <v>0.23456790123456783</v>
      </c>
      <c r="AC12" s="950" t="s">
        <v>14</v>
      </c>
      <c r="AD12" s="951"/>
      <c r="AE12" s="952"/>
      <c r="AG12" s="953" t="s">
        <v>15</v>
      </c>
      <c r="AH12" s="954"/>
      <c r="AJ12" s="52" t="s">
        <v>16</v>
      </c>
      <c r="AK12" s="935" t="s">
        <v>17</v>
      </c>
      <c r="AL12" s="936"/>
    </row>
    <row r="13" spans="1:38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85">
        <v>0.81</v>
      </c>
    </row>
    <row r="14" spans="1:38" ht="33" thickBot="1" x14ac:dyDescent="0.35">
      <c r="A14" s="78">
        <v>0</v>
      </c>
      <c r="B14" s="79"/>
      <c r="C14" s="80"/>
      <c r="D14" s="103"/>
      <c r="E14" s="103"/>
      <c r="F14" s="127" t="s">
        <v>23</v>
      </c>
      <c r="G14" s="128" t="s">
        <v>24</v>
      </c>
      <c r="H14" s="129" t="s">
        <v>25</v>
      </c>
      <c r="I14" s="129" t="s">
        <v>26</v>
      </c>
      <c r="J14" s="130" t="s">
        <v>27</v>
      </c>
      <c r="K14" s="131" t="s">
        <v>28</v>
      </c>
      <c r="L14" s="132">
        <v>0.09</v>
      </c>
      <c r="M14" s="133">
        <f>1-M13</f>
        <v>0.18999999999999995</v>
      </c>
      <c r="N14" s="134" t="s">
        <v>29</v>
      </c>
      <c r="Q14" s="120" t="s">
        <v>30</v>
      </c>
      <c r="R14" s="121" t="s">
        <v>31</v>
      </c>
      <c r="S14" s="122" t="s">
        <v>32</v>
      </c>
      <c r="T14" s="123" t="s">
        <v>33</v>
      </c>
      <c r="U14" s="124" t="s">
        <v>34</v>
      </c>
      <c r="V14" s="125" t="s">
        <v>35</v>
      </c>
      <c r="W14" s="126" t="s">
        <v>36</v>
      </c>
      <c r="X14" s="126" t="s">
        <v>37</v>
      </c>
      <c r="Y14" s="208" t="s">
        <v>38</v>
      </c>
      <c r="Z14" s="119" t="s">
        <v>39</v>
      </c>
      <c r="AA14" s="81" t="s">
        <v>40</v>
      </c>
      <c r="AC14" s="82" t="s">
        <v>41</v>
      </c>
      <c r="AD14" s="83" t="s">
        <v>42</v>
      </c>
      <c r="AE14" s="83" t="s">
        <v>43</v>
      </c>
      <c r="AG14" s="90" t="s">
        <v>44</v>
      </c>
      <c r="AH14" s="91" t="s">
        <v>45</v>
      </c>
      <c r="AI14" t="s">
        <v>46</v>
      </c>
      <c r="AJ14" t="s">
        <v>46</v>
      </c>
      <c r="AK14" s="92" t="s">
        <v>47</v>
      </c>
      <c r="AL14" s="93" t="s">
        <v>48</v>
      </c>
    </row>
    <row r="15" spans="1:38" ht="18.600000000000001" thickBot="1" x14ac:dyDescent="0.4">
      <c r="A15" s="108">
        <v>1</v>
      </c>
      <c r="B15" s="112">
        <v>1</v>
      </c>
      <c r="C15" s="107" t="s">
        <v>49</v>
      </c>
      <c r="D15" s="108"/>
      <c r="E15" s="108"/>
      <c r="F15" s="937" t="s">
        <v>183</v>
      </c>
      <c r="G15" s="938"/>
      <c r="H15" s="938"/>
      <c r="I15" s="938"/>
      <c r="J15" s="938"/>
      <c r="K15" s="938"/>
      <c r="L15" s="938"/>
      <c r="M15" s="938"/>
      <c r="N15" s="939"/>
      <c r="Q15" s="940" t="str">
        <f>IF(F15&lt;&gt;"",F15,"")</f>
        <v>Opções do Hotel | 03</v>
      </c>
      <c r="R15" s="941"/>
      <c r="S15" s="941"/>
      <c r="T15" s="941"/>
      <c r="U15" s="941"/>
      <c r="V15" s="941"/>
      <c r="W15" s="941"/>
      <c r="X15" s="941"/>
      <c r="Y15" s="942"/>
    </row>
    <row r="16" spans="1:38" ht="18" x14ac:dyDescent="0.35">
      <c r="A16" s="103">
        <v>2</v>
      </c>
      <c r="B16" s="112" t="s">
        <v>51</v>
      </c>
      <c r="C16" s="111" t="s">
        <v>52</v>
      </c>
      <c r="D16" s="103"/>
      <c r="E16" s="103"/>
      <c r="F16" s="943" t="s">
        <v>184</v>
      </c>
      <c r="G16" s="944"/>
      <c r="H16" s="944"/>
      <c r="I16" s="944"/>
      <c r="J16" s="944"/>
      <c r="K16" s="945"/>
      <c r="L16" s="65" t="s">
        <v>54</v>
      </c>
      <c r="M16" s="65" t="s">
        <v>55</v>
      </c>
      <c r="N16" s="146" t="s">
        <v>29</v>
      </c>
      <c r="Q16" s="943" t="str">
        <f>IF(F16&lt;&gt;"",F16,"")</f>
        <v>TIVOLI</v>
      </c>
      <c r="R16" s="944"/>
      <c r="S16" s="944"/>
      <c r="T16" s="944"/>
      <c r="U16" s="944"/>
      <c r="V16" s="944"/>
      <c r="W16" s="944"/>
      <c r="X16" s="944"/>
      <c r="Y16" s="946"/>
      <c r="Z16" s="147" t="s">
        <v>56</v>
      </c>
      <c r="AA16" s="188" t="s">
        <v>40</v>
      </c>
    </row>
    <row r="17" spans="1:27" ht="39.6" customHeight="1" x14ac:dyDescent="0.3">
      <c r="A17" s="103">
        <v>3</v>
      </c>
      <c r="B17" s="112" t="s">
        <v>57</v>
      </c>
      <c r="C17" s="111" t="s">
        <v>58</v>
      </c>
      <c r="D17" s="103" t="s">
        <v>83</v>
      </c>
      <c r="E17" s="103" t="s">
        <v>60</v>
      </c>
      <c r="F17" s="145" t="s">
        <v>185</v>
      </c>
      <c r="G17" s="59" t="s">
        <v>186</v>
      </c>
      <c r="H17" s="148">
        <v>1</v>
      </c>
      <c r="I17" s="148">
        <v>1</v>
      </c>
      <c r="J17" s="61">
        <v>41598.370000000003</v>
      </c>
      <c r="K17" s="61">
        <f t="shared" ref="K17:K22" si="0">IF(F17&lt;&gt;"",H17*I17*J17,"")</f>
        <v>41598.370000000003</v>
      </c>
      <c r="L17" s="61">
        <f t="shared" ref="L17:L22" si="1">IF(K17&lt;&gt;"",IF(D17="INTERNO",0,K17*$L$14),"")</f>
        <v>3743.8533000000002</v>
      </c>
      <c r="M17" s="61">
        <f t="shared" ref="M17:M22" si="2">IF(K17&lt;&gt;"",IF(E17="FAT.OGGI",SUM(K17:L17)*(1/(1-$M$14)-1),L17*(1/(1-$M$14)-1)),"")</f>
        <v>10635.830156790122</v>
      </c>
      <c r="N17" s="66">
        <f t="shared" ref="N17:N22" si="3">SUM(K17:M17)</f>
        <v>55978.053456790127</v>
      </c>
      <c r="Q17" s="149">
        <v>1</v>
      </c>
      <c r="R17" s="150">
        <v>1</v>
      </c>
      <c r="S17" s="62">
        <v>36172.5</v>
      </c>
      <c r="T17" s="62">
        <f t="shared" ref="T17:T22" si="4">IF(Q17&lt;&gt;"",Q17*R17*S17,"")</f>
        <v>36172.5</v>
      </c>
      <c r="U17" s="63">
        <f t="shared" ref="U17:U22" si="5">IF(Q17&lt;&gt;"",K17-T17,"")</f>
        <v>5425.8700000000026</v>
      </c>
      <c r="V17" s="143">
        <f t="shared" ref="V17:V22" si="6">IF(Q17&lt;&gt;"",0%,"")</f>
        <v>0</v>
      </c>
      <c r="W17" s="64">
        <f t="shared" ref="W17:W22" si="7">IF(Q17&lt;&gt;"",V17*U17,"")</f>
        <v>0</v>
      </c>
      <c r="X17" s="64">
        <f t="shared" ref="X17:X22" si="8">IF(Q17&lt;&gt;"",W17+T17,"")</f>
        <v>36172.5</v>
      </c>
      <c r="Y17" s="73">
        <f t="shared" ref="Y17:Y23" si="9">IF(Q17&lt;&gt;"",X17+M17,"")</f>
        <v>46808.330156790122</v>
      </c>
      <c r="Z17" s="115">
        <f t="shared" ref="Z17:Z22" si="10">IF(Q17&lt;&gt;"",U17/K17,"")</f>
        <v>0.1304346780895502</v>
      </c>
      <c r="AA17" s="114">
        <f t="shared" ref="AA17:AA22" si="11">T17/$T$23</f>
        <v>0.1789676796912687</v>
      </c>
    </row>
    <row r="18" spans="1:27" ht="32.4" x14ac:dyDescent="0.3">
      <c r="A18" s="103">
        <v>4</v>
      </c>
      <c r="B18" s="112" t="s">
        <v>62</v>
      </c>
      <c r="C18" s="111" t="s">
        <v>58</v>
      </c>
      <c r="D18" s="103" t="s">
        <v>83</v>
      </c>
      <c r="E18" s="103" t="s">
        <v>60</v>
      </c>
      <c r="F18" s="145" t="s">
        <v>187</v>
      </c>
      <c r="G18" s="59"/>
      <c r="H18" s="148">
        <v>1</v>
      </c>
      <c r="I18" s="148">
        <v>1</v>
      </c>
      <c r="J18" s="61"/>
      <c r="K18" s="61">
        <f t="shared" si="0"/>
        <v>0</v>
      </c>
      <c r="L18" s="61">
        <f t="shared" si="1"/>
        <v>0</v>
      </c>
      <c r="M18" s="61">
        <f t="shared" si="2"/>
        <v>0</v>
      </c>
      <c r="N18" s="66">
        <f t="shared" si="3"/>
        <v>0</v>
      </c>
      <c r="Q18" s="149">
        <f t="shared" ref="Q18:R22" si="12">IF(H18&lt;&gt;"",H18,"")</f>
        <v>1</v>
      </c>
      <c r="R18" s="150">
        <f t="shared" si="12"/>
        <v>1</v>
      </c>
      <c r="S18" s="62"/>
      <c r="T18" s="62">
        <f t="shared" si="4"/>
        <v>0</v>
      </c>
      <c r="U18" s="63">
        <f t="shared" si="5"/>
        <v>0</v>
      </c>
      <c r="V18" s="143">
        <f t="shared" si="6"/>
        <v>0</v>
      </c>
      <c r="W18" s="64">
        <f t="shared" si="7"/>
        <v>0</v>
      </c>
      <c r="X18" s="64">
        <f t="shared" si="8"/>
        <v>0</v>
      </c>
      <c r="Y18" s="73">
        <f t="shared" si="9"/>
        <v>0</v>
      </c>
      <c r="Z18" s="115" t="e">
        <f t="shared" si="10"/>
        <v>#DIV/0!</v>
      </c>
      <c r="AA18" s="114">
        <f t="shared" si="11"/>
        <v>0</v>
      </c>
    </row>
    <row r="19" spans="1:27" ht="44.55" customHeight="1" x14ac:dyDescent="0.3">
      <c r="A19" s="103">
        <v>5</v>
      </c>
      <c r="B19" s="112" t="s">
        <v>64</v>
      </c>
      <c r="C19" s="111" t="s">
        <v>58</v>
      </c>
      <c r="D19" s="103" t="s">
        <v>83</v>
      </c>
      <c r="E19" s="103" t="s">
        <v>60</v>
      </c>
      <c r="F19" s="117" t="s">
        <v>188</v>
      </c>
      <c r="G19" s="59" t="s">
        <v>189</v>
      </c>
      <c r="H19" s="148">
        <v>1</v>
      </c>
      <c r="I19" s="148">
        <v>1</v>
      </c>
      <c r="J19" s="61"/>
      <c r="K19" s="61">
        <f t="shared" si="0"/>
        <v>0</v>
      </c>
      <c r="L19" s="61">
        <f t="shared" si="1"/>
        <v>0</v>
      </c>
      <c r="M19" s="61">
        <f t="shared" si="2"/>
        <v>0</v>
      </c>
      <c r="N19" s="66">
        <f t="shared" si="3"/>
        <v>0</v>
      </c>
      <c r="Q19" s="149">
        <v>300</v>
      </c>
      <c r="R19" s="150">
        <v>1</v>
      </c>
      <c r="S19" s="62">
        <v>134.5</v>
      </c>
      <c r="T19" s="62">
        <f t="shared" si="4"/>
        <v>40350</v>
      </c>
      <c r="U19" s="63">
        <f t="shared" si="5"/>
        <v>-40350</v>
      </c>
      <c r="V19" s="143">
        <f t="shared" si="6"/>
        <v>0</v>
      </c>
      <c r="W19" s="64">
        <f t="shared" si="7"/>
        <v>0</v>
      </c>
      <c r="X19" s="64">
        <f t="shared" si="8"/>
        <v>40350</v>
      </c>
      <c r="Y19" s="73">
        <f t="shared" si="9"/>
        <v>40350</v>
      </c>
      <c r="Z19" s="115" t="e">
        <f t="shared" si="10"/>
        <v>#DIV/0!</v>
      </c>
      <c r="AA19" s="114">
        <f t="shared" si="11"/>
        <v>0.19963635014286243</v>
      </c>
    </row>
    <row r="20" spans="1:27" ht="32.4" x14ac:dyDescent="0.3">
      <c r="A20" s="103">
        <v>6</v>
      </c>
      <c r="B20" s="112" t="s">
        <v>66</v>
      </c>
      <c r="C20" s="111" t="s">
        <v>58</v>
      </c>
      <c r="D20" s="103" t="s">
        <v>83</v>
      </c>
      <c r="E20" s="103" t="s">
        <v>60</v>
      </c>
      <c r="F20" s="151" t="s">
        <v>190</v>
      </c>
      <c r="G20" s="59" t="s">
        <v>191</v>
      </c>
      <c r="H20" s="148">
        <v>1</v>
      </c>
      <c r="I20" s="148">
        <v>1</v>
      </c>
      <c r="J20" s="61"/>
      <c r="K20" s="61">
        <f t="shared" si="0"/>
        <v>0</v>
      </c>
      <c r="L20" s="61">
        <f t="shared" si="1"/>
        <v>0</v>
      </c>
      <c r="M20" s="61">
        <f t="shared" si="2"/>
        <v>0</v>
      </c>
      <c r="N20" s="66">
        <f t="shared" si="3"/>
        <v>0</v>
      </c>
      <c r="Q20" s="149">
        <v>300</v>
      </c>
      <c r="R20" s="150">
        <v>1</v>
      </c>
      <c r="S20" s="62">
        <v>300</v>
      </c>
      <c r="T20" s="62">
        <f t="shared" si="4"/>
        <v>90000</v>
      </c>
      <c r="U20" s="63">
        <f t="shared" si="5"/>
        <v>-90000</v>
      </c>
      <c r="V20" s="143">
        <f t="shared" si="6"/>
        <v>0</v>
      </c>
      <c r="W20" s="64">
        <f t="shared" si="7"/>
        <v>0</v>
      </c>
      <c r="X20" s="64">
        <f t="shared" si="8"/>
        <v>90000</v>
      </c>
      <c r="Y20" s="73">
        <f t="shared" si="9"/>
        <v>90000</v>
      </c>
      <c r="Z20" s="115" t="e">
        <f t="shared" si="10"/>
        <v>#DIV/0!</v>
      </c>
      <c r="AA20" s="114">
        <f t="shared" si="11"/>
        <v>0.44528553935210952</v>
      </c>
    </row>
    <row r="21" spans="1:27" ht="64.8" x14ac:dyDescent="0.3">
      <c r="A21" s="103">
        <v>7</v>
      </c>
      <c r="B21" s="112" t="s">
        <v>68</v>
      </c>
      <c r="C21" s="111" t="s">
        <v>58</v>
      </c>
      <c r="D21" s="103" t="s">
        <v>83</v>
      </c>
      <c r="E21" s="103" t="s">
        <v>60</v>
      </c>
      <c r="F21" s="145" t="s">
        <v>192</v>
      </c>
      <c r="G21" s="59" t="s">
        <v>193</v>
      </c>
      <c r="H21" s="148">
        <v>1</v>
      </c>
      <c r="I21" s="148">
        <v>1</v>
      </c>
      <c r="J21" s="61"/>
      <c r="K21" s="61">
        <f t="shared" si="0"/>
        <v>0</v>
      </c>
      <c r="L21" s="61">
        <f t="shared" si="1"/>
        <v>0</v>
      </c>
      <c r="M21" s="61">
        <f t="shared" si="2"/>
        <v>0</v>
      </c>
      <c r="N21" s="66">
        <f t="shared" si="3"/>
        <v>0</v>
      </c>
      <c r="Q21" s="149">
        <v>300</v>
      </c>
      <c r="R21" s="150">
        <v>1</v>
      </c>
      <c r="S21" s="62">
        <v>118.65</v>
      </c>
      <c r="T21" s="62">
        <f t="shared" ref="T21" si="13">IF(Q21&lt;&gt;"",Q21*R21*S21,"")</f>
        <v>35595</v>
      </c>
      <c r="U21" s="63">
        <f t="shared" si="5"/>
        <v>-35595</v>
      </c>
      <c r="V21" s="143">
        <f t="shared" si="6"/>
        <v>0</v>
      </c>
      <c r="W21" s="64">
        <f t="shared" si="7"/>
        <v>0</v>
      </c>
      <c r="X21" s="64">
        <f t="shared" si="8"/>
        <v>35595</v>
      </c>
      <c r="Y21" s="73">
        <f t="shared" si="9"/>
        <v>35595</v>
      </c>
      <c r="Z21" s="115" t="e">
        <f t="shared" si="10"/>
        <v>#DIV/0!</v>
      </c>
      <c r="AA21" s="114">
        <f t="shared" si="11"/>
        <v>0.17611043081375932</v>
      </c>
    </row>
    <row r="22" spans="1:27" ht="44.55" customHeight="1" x14ac:dyDescent="0.3">
      <c r="A22" s="103">
        <v>8</v>
      </c>
      <c r="B22" s="112" t="s">
        <v>70</v>
      </c>
      <c r="C22" s="111" t="s">
        <v>58</v>
      </c>
      <c r="D22" s="103" t="s">
        <v>83</v>
      </c>
      <c r="E22" s="103" t="s">
        <v>60</v>
      </c>
      <c r="F22" s="117" t="s">
        <v>194</v>
      </c>
      <c r="G22" s="113"/>
      <c r="H22" s="116">
        <v>1</v>
      </c>
      <c r="I22" s="116">
        <v>1</v>
      </c>
      <c r="J22" s="55"/>
      <c r="K22" s="55">
        <f t="shared" si="0"/>
        <v>0</v>
      </c>
      <c r="L22" s="55">
        <f t="shared" si="1"/>
        <v>0</v>
      </c>
      <c r="M22" s="55">
        <f t="shared" si="2"/>
        <v>0</v>
      </c>
      <c r="N22" s="74">
        <f t="shared" si="3"/>
        <v>0</v>
      </c>
      <c r="Q22" s="152">
        <f t="shared" si="12"/>
        <v>1</v>
      </c>
      <c r="R22" s="153">
        <f t="shared" si="12"/>
        <v>1</v>
      </c>
      <c r="S22" s="56"/>
      <c r="T22" s="56">
        <f t="shared" si="4"/>
        <v>0</v>
      </c>
      <c r="U22" s="58">
        <f t="shared" si="5"/>
        <v>0</v>
      </c>
      <c r="V22" s="141">
        <f t="shared" si="6"/>
        <v>0</v>
      </c>
      <c r="W22" s="57">
        <f t="shared" si="7"/>
        <v>0</v>
      </c>
      <c r="X22" s="57">
        <f t="shared" si="8"/>
        <v>0</v>
      </c>
      <c r="Y22" s="76">
        <f t="shared" si="9"/>
        <v>0</v>
      </c>
      <c r="Z22" s="115" t="e">
        <f t="shared" si="10"/>
        <v>#DIV/0!</v>
      </c>
      <c r="AA22" s="114">
        <f t="shared" si="11"/>
        <v>0</v>
      </c>
    </row>
    <row r="23" spans="1:27" ht="33" thickBot="1" x14ac:dyDescent="0.4">
      <c r="A23" s="109">
        <v>9</v>
      </c>
      <c r="B23" s="118"/>
      <c r="C23" s="110" t="s">
        <v>75</v>
      </c>
      <c r="D23" s="109"/>
      <c r="E23" s="109"/>
      <c r="F23" s="955" t="s">
        <v>195</v>
      </c>
      <c r="G23" s="956"/>
      <c r="H23" s="956"/>
      <c r="I23" s="956"/>
      <c r="J23" s="956"/>
      <c r="K23" s="68">
        <f>SUM(K17:K22)</f>
        <v>41598.370000000003</v>
      </c>
      <c r="L23" s="68">
        <f>SUM(L17:L22)</f>
        <v>3743.8533000000002</v>
      </c>
      <c r="M23" s="68">
        <f>SUM(M17:M22)</f>
        <v>10635.830156790122</v>
      </c>
      <c r="N23" s="189">
        <f>SUM(N17:N22)</f>
        <v>55978.053456790127</v>
      </c>
      <c r="Q23" s="957" t="s">
        <v>196</v>
      </c>
      <c r="R23" s="958"/>
      <c r="S23" s="958"/>
      <c r="T23" s="67">
        <f>SUM(T17:T22)</f>
        <v>202117.5</v>
      </c>
      <c r="U23" s="70">
        <f>SUM(U17:U22)</f>
        <v>-160519.13</v>
      </c>
      <c r="V23" s="71"/>
      <c r="W23" s="71"/>
      <c r="X23" s="72">
        <f>SUM(X17:X22)</f>
        <v>202117.5</v>
      </c>
      <c r="Y23" s="211">
        <f t="shared" si="9"/>
        <v>212753.33015679012</v>
      </c>
    </row>
  </sheetData>
  <mergeCells count="13">
    <mergeCell ref="F23:J23"/>
    <mergeCell ref="Q23:S23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2">
    <dataValidation type="list" allowBlank="1" showInputMessage="1" showErrorMessage="1" sqref="E17:E22" xr:uid="{90E5930D-09D2-44B3-8CB1-9AE2E2048526}">
      <formula1>"FAT.OGGI,FAT.CLIENTE"</formula1>
    </dataValidation>
    <dataValidation type="list" allowBlank="1" showInputMessage="1" showErrorMessage="1" sqref="D17:D22" xr:uid="{359B38B2-27A4-4682-82DB-CE75E6F1BAAB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22" r:id="rId4" name="Label2">
          <controlPr defaultSize="0" autoLine="0" r:id="rId5">
            <anchor>
              <from>
                <xdr:col>22</xdr:col>
                <xdr:colOff>434340</xdr:colOff>
                <xdr:row>0</xdr:row>
                <xdr:rowOff>213360</xdr:rowOff>
              </from>
              <to>
                <xdr:col>22</xdr:col>
                <xdr:colOff>1409700</xdr:colOff>
                <xdr:row>1</xdr:row>
                <xdr:rowOff>114300</xdr:rowOff>
              </to>
            </anchor>
          </controlPr>
        </control>
      </mc:Choice>
      <mc:Fallback>
        <control shapeId="30722" r:id="rId4" name="Label2"/>
      </mc:Fallback>
    </mc:AlternateContent>
    <mc:AlternateContent xmlns:mc="http://schemas.openxmlformats.org/markup-compatibility/2006">
      <mc:Choice Requires="x14">
        <control shapeId="30721" r:id="rId6" name="Label1">
          <controlPr defaultSize="0" autoLine="0" r:id="rId7">
            <anchor>
              <from>
                <xdr:col>1</xdr:col>
                <xdr:colOff>259080</xdr:colOff>
                <xdr:row>0</xdr:row>
                <xdr:rowOff>144780</xdr:rowOff>
              </from>
              <to>
                <xdr:col>2</xdr:col>
                <xdr:colOff>640080</xdr:colOff>
                <xdr:row>1</xdr:row>
                <xdr:rowOff>60960</xdr:rowOff>
              </to>
            </anchor>
          </controlPr>
        </control>
      </mc:Choice>
      <mc:Fallback>
        <control shapeId="30721" r:id="rId6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B078A-E02D-4821-AF55-04C13133BC00}">
  <sheetPr codeName="Planilha21">
    <tabColor theme="0"/>
    <pageSetUpPr autoPageBreaks="0"/>
  </sheetPr>
  <dimension ref="A1:AL23"/>
  <sheetViews>
    <sheetView showGridLines="0" zoomScale="60" zoomScaleNormal="60" workbookViewId="0">
      <pane ySplit="1" topLeftCell="A10" activePane="bottomLeft" state="frozen"/>
      <selection activeCell="AC1" sqref="AC1"/>
      <selection pane="bottomLeft" activeCell="F16" sqref="F16:K16"/>
    </sheetView>
  </sheetViews>
  <sheetFormatPr defaultRowHeight="14.4" x14ac:dyDescent="0.3"/>
  <cols>
    <col min="1" max="1" width="5.77734375" customWidth="1"/>
    <col min="2" max="2" width="8.21875" customWidth="1"/>
    <col min="3" max="3" width="14.21875" customWidth="1"/>
    <col min="4" max="4" width="13.44140625" customWidth="1"/>
    <col min="5" max="5" width="30.5546875" bestFit="1" customWidth="1"/>
    <col min="6" max="6" width="33.21875" customWidth="1"/>
    <col min="7" max="7" width="54.77734375" customWidth="1"/>
    <col min="8" max="8" width="7.77734375" style="53" customWidth="1"/>
    <col min="9" max="9" width="9.44140625" style="53" customWidth="1"/>
    <col min="10" max="10" width="20.21875" customWidth="1"/>
    <col min="11" max="11" width="25.21875" customWidth="1"/>
    <col min="12" max="13" width="24.77734375" customWidth="1"/>
    <col min="14" max="14" width="26" customWidth="1"/>
    <col min="15" max="15" width="3.21875" customWidth="1"/>
    <col min="16" max="16" width="4.21875" customWidth="1"/>
    <col min="17" max="17" width="8.77734375" style="53" customWidth="1"/>
    <col min="18" max="18" width="11.21875" style="53" customWidth="1"/>
    <col min="19" max="19" width="24.21875" customWidth="1"/>
    <col min="20" max="20" width="28.77734375" customWidth="1"/>
    <col min="21" max="23" width="28.21875" customWidth="1"/>
    <col min="24" max="25" width="27.77734375" customWidth="1"/>
    <col min="26" max="26" width="18.5546875" customWidth="1"/>
    <col min="27" max="27" width="27.77734375" customWidth="1"/>
    <col min="28" max="28" width="48.44140625" customWidth="1"/>
    <col min="29" max="30" width="33" customWidth="1"/>
    <col min="31" max="31" width="28" customWidth="1"/>
    <col min="32" max="32" width="1.21875" customWidth="1"/>
    <col min="33" max="33" width="81.5546875" customWidth="1"/>
    <col min="34" max="34" width="36.77734375" customWidth="1"/>
    <col min="35" max="35" width="1.5546875" customWidth="1"/>
    <col min="36" max="36" width="20.21875" customWidth="1"/>
    <col min="37" max="37" width="25.21875" bestFit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104"/>
      <c r="C1" s="105"/>
      <c r="D1" s="105"/>
      <c r="F1" s="959" t="s">
        <v>0</v>
      </c>
      <c r="G1" s="959"/>
    </row>
    <row r="2" spans="1:38" ht="24.75" customHeight="1" x14ac:dyDescent="0.3">
      <c r="B2" s="53"/>
      <c r="D2" s="105"/>
      <c r="F2" s="960" t="s">
        <v>1</v>
      </c>
      <c r="G2" s="960"/>
    </row>
    <row r="3" spans="1:38" ht="18" x14ac:dyDescent="0.35">
      <c r="B3" s="106"/>
      <c r="F3" s="89"/>
      <c r="G3" s="89"/>
    </row>
    <row r="4" spans="1:38" ht="18" x14ac:dyDescent="0.3">
      <c r="F4" s="94" t="s">
        <v>176</v>
      </c>
      <c r="G4" s="95"/>
    </row>
    <row r="5" spans="1:38" ht="18" x14ac:dyDescent="0.3">
      <c r="F5" s="96" t="s">
        <v>177</v>
      </c>
      <c r="G5" s="97"/>
    </row>
    <row r="6" spans="1:38" ht="18" x14ac:dyDescent="0.3">
      <c r="F6" s="96" t="s">
        <v>178</v>
      </c>
      <c r="G6" s="98"/>
    </row>
    <row r="7" spans="1:38" ht="21.75" customHeight="1" x14ac:dyDescent="0.3">
      <c r="F7" s="96" t="s">
        <v>179</v>
      </c>
      <c r="G7" s="99"/>
    </row>
    <row r="8" spans="1:38" ht="18" x14ac:dyDescent="0.3">
      <c r="F8" s="96" t="s">
        <v>180</v>
      </c>
      <c r="G8" s="100"/>
    </row>
    <row r="9" spans="1:38" ht="18" x14ac:dyDescent="0.3">
      <c r="F9" s="96" t="s">
        <v>7</v>
      </c>
      <c r="G9" s="99"/>
      <c r="M9">
        <v>0.80469999999999997</v>
      </c>
    </row>
    <row r="10" spans="1:38" ht="27" customHeight="1" x14ac:dyDescent="0.3">
      <c r="F10" s="96" t="s">
        <v>181</v>
      </c>
      <c r="G10" s="99"/>
      <c r="M10">
        <f>1-M9</f>
        <v>0.19530000000000003</v>
      </c>
    </row>
    <row r="11" spans="1:38" ht="18.600000000000001" thickBot="1" x14ac:dyDescent="0.35">
      <c r="F11" s="101" t="s">
        <v>182</v>
      </c>
      <c r="G11" s="102"/>
    </row>
    <row r="12" spans="1:38" ht="16.8" thickBot="1" x14ac:dyDescent="0.35">
      <c r="B12" s="77"/>
      <c r="M12" s="84"/>
      <c r="Q12" s="961" t="s">
        <v>11</v>
      </c>
      <c r="R12" s="962"/>
      <c r="S12" s="962"/>
      <c r="T12" s="963"/>
      <c r="U12" s="947" t="s">
        <v>12</v>
      </c>
      <c r="V12" s="948"/>
      <c r="W12" s="948"/>
      <c r="X12" s="949"/>
      <c r="Y12" s="86" t="s">
        <v>13</v>
      </c>
      <c r="Z12" s="210">
        <f>(1/(1-M14))-1</f>
        <v>0.23456790123456783</v>
      </c>
      <c r="AC12" s="950" t="s">
        <v>14</v>
      </c>
      <c r="AD12" s="951"/>
      <c r="AE12" s="952"/>
      <c r="AG12" s="953" t="s">
        <v>15</v>
      </c>
      <c r="AH12" s="954"/>
      <c r="AJ12" s="52" t="s">
        <v>16</v>
      </c>
      <c r="AK12" s="935" t="s">
        <v>17</v>
      </c>
      <c r="AL12" s="936"/>
    </row>
    <row r="13" spans="1:38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85">
        <v>0.81</v>
      </c>
    </row>
    <row r="14" spans="1:38" ht="33" thickBot="1" x14ac:dyDescent="0.35">
      <c r="A14" s="78">
        <v>0</v>
      </c>
      <c r="B14" s="79"/>
      <c r="C14" s="80"/>
      <c r="D14" s="103"/>
      <c r="E14" s="103"/>
      <c r="F14" s="127" t="s">
        <v>23</v>
      </c>
      <c r="G14" s="128" t="s">
        <v>24</v>
      </c>
      <c r="H14" s="129" t="s">
        <v>25</v>
      </c>
      <c r="I14" s="129" t="s">
        <v>26</v>
      </c>
      <c r="J14" s="130" t="s">
        <v>27</v>
      </c>
      <c r="K14" s="131" t="s">
        <v>28</v>
      </c>
      <c r="L14" s="132">
        <v>0.09</v>
      </c>
      <c r="M14" s="133">
        <f>1-M13</f>
        <v>0.18999999999999995</v>
      </c>
      <c r="N14" s="134" t="s">
        <v>29</v>
      </c>
      <c r="Q14" s="120" t="s">
        <v>30</v>
      </c>
      <c r="R14" s="121" t="s">
        <v>31</v>
      </c>
      <c r="S14" s="122" t="s">
        <v>32</v>
      </c>
      <c r="T14" s="123" t="s">
        <v>33</v>
      </c>
      <c r="U14" s="124" t="s">
        <v>34</v>
      </c>
      <c r="V14" s="125" t="s">
        <v>35</v>
      </c>
      <c r="W14" s="126" t="s">
        <v>36</v>
      </c>
      <c r="X14" s="126" t="s">
        <v>37</v>
      </c>
      <c r="Y14" s="208" t="s">
        <v>38</v>
      </c>
      <c r="Z14" s="119" t="s">
        <v>39</v>
      </c>
      <c r="AA14" s="81" t="s">
        <v>40</v>
      </c>
      <c r="AC14" s="82" t="s">
        <v>41</v>
      </c>
      <c r="AD14" s="83" t="s">
        <v>42</v>
      </c>
      <c r="AE14" s="83" t="s">
        <v>43</v>
      </c>
      <c r="AG14" s="90" t="s">
        <v>44</v>
      </c>
      <c r="AH14" s="91" t="s">
        <v>45</v>
      </c>
      <c r="AI14" t="s">
        <v>46</v>
      </c>
      <c r="AJ14" t="s">
        <v>46</v>
      </c>
      <c r="AK14" s="92" t="s">
        <v>47</v>
      </c>
      <c r="AL14" s="93" t="s">
        <v>48</v>
      </c>
    </row>
    <row r="15" spans="1:38" ht="18.600000000000001" thickBot="1" x14ac:dyDescent="0.4">
      <c r="A15" s="108">
        <v>1</v>
      </c>
      <c r="B15" s="112">
        <v>1</v>
      </c>
      <c r="C15" s="107" t="s">
        <v>49</v>
      </c>
      <c r="D15" s="108"/>
      <c r="E15" s="108"/>
      <c r="F15" s="937" t="s">
        <v>197</v>
      </c>
      <c r="G15" s="938"/>
      <c r="H15" s="938"/>
      <c r="I15" s="938"/>
      <c r="J15" s="938"/>
      <c r="K15" s="938"/>
      <c r="L15" s="938"/>
      <c r="M15" s="938"/>
      <c r="N15" s="939"/>
      <c r="Q15" s="940" t="str">
        <f>IF(F15&lt;&gt;"",F15,"")</f>
        <v>Opções do Hotel | 04</v>
      </c>
      <c r="R15" s="941"/>
      <c r="S15" s="941"/>
      <c r="T15" s="941"/>
      <c r="U15" s="941"/>
      <c r="V15" s="941"/>
      <c r="W15" s="941"/>
      <c r="X15" s="941"/>
      <c r="Y15" s="942"/>
    </row>
    <row r="16" spans="1:38" ht="18" x14ac:dyDescent="0.35">
      <c r="A16" s="103">
        <v>2</v>
      </c>
      <c r="B16" s="112" t="s">
        <v>51</v>
      </c>
      <c r="C16" s="111" t="s">
        <v>52</v>
      </c>
      <c r="D16" s="103"/>
      <c r="E16" s="103"/>
      <c r="F16" s="943" t="s">
        <v>198</v>
      </c>
      <c r="G16" s="944"/>
      <c r="H16" s="944"/>
      <c r="I16" s="944"/>
      <c r="J16" s="944"/>
      <c r="K16" s="945"/>
      <c r="L16" s="65" t="s">
        <v>54</v>
      </c>
      <c r="M16" s="65" t="s">
        <v>55</v>
      </c>
      <c r="N16" s="146" t="s">
        <v>29</v>
      </c>
      <c r="Q16" s="943" t="str">
        <f>IF(F16&lt;&gt;"",F16,"")</f>
        <v>Grand mercure</v>
      </c>
      <c r="R16" s="944"/>
      <c r="S16" s="944"/>
      <c r="T16" s="944"/>
      <c r="U16" s="944"/>
      <c r="V16" s="944"/>
      <c r="W16" s="944"/>
      <c r="X16" s="944"/>
      <c r="Y16" s="946"/>
      <c r="Z16" s="147" t="s">
        <v>56</v>
      </c>
      <c r="AA16" s="188" t="s">
        <v>40</v>
      </c>
    </row>
    <row r="17" spans="1:27" ht="32.4" x14ac:dyDescent="0.3">
      <c r="A17" s="103">
        <v>3</v>
      </c>
      <c r="B17" s="112" t="s">
        <v>57</v>
      </c>
      <c r="C17" s="111" t="s">
        <v>58</v>
      </c>
      <c r="D17" s="103" t="s">
        <v>83</v>
      </c>
      <c r="E17" s="103" t="s">
        <v>60</v>
      </c>
      <c r="F17" s="145" t="s">
        <v>199</v>
      </c>
      <c r="G17" s="59"/>
      <c r="H17" s="60"/>
      <c r="I17" s="60"/>
      <c r="J17" s="61"/>
      <c r="K17" s="61">
        <f t="shared" ref="K17:K22" si="0">IF(F17&lt;&gt;"",H17*I17*J17,"")</f>
        <v>0</v>
      </c>
      <c r="L17" s="61">
        <f t="shared" ref="L17:L22" si="1">IF(K17&lt;&gt;"",IF(D17="INTERNO",0,K17*$L$14),"")</f>
        <v>0</v>
      </c>
      <c r="M17" s="61">
        <f t="shared" ref="M17:M22" si="2">IF(K17&lt;&gt;"",IF(E17="FAT.OGGI",SUM(K17:L17)*(1/(1-$M$14)-1),L17*(1/(1-$M$14)-1)),"")</f>
        <v>0</v>
      </c>
      <c r="N17" s="66">
        <f t="shared" ref="N17:N22" si="3">SUM(K17:M17)</f>
        <v>0</v>
      </c>
      <c r="Q17" s="69" t="str">
        <f t="shared" ref="Q17:R22" si="4">IF(H17&lt;&gt;"",H17,"")</f>
        <v/>
      </c>
      <c r="R17" s="142" t="str">
        <f t="shared" si="4"/>
        <v/>
      </c>
      <c r="S17" s="62"/>
      <c r="T17" s="62" t="str">
        <f t="shared" ref="T17:T22" si="5">IF(Q17&lt;&gt;"",Q17*R17*S17,"")</f>
        <v/>
      </c>
      <c r="U17" s="63" t="str">
        <f t="shared" ref="U17:U22" si="6">IF(Q17&lt;&gt;"",K17-T17,"")</f>
        <v/>
      </c>
      <c r="V17" s="143" t="str">
        <f t="shared" ref="V17:V22" si="7">IF(Q17&lt;&gt;"",0%,"")</f>
        <v/>
      </c>
      <c r="W17" s="64" t="str">
        <f t="shared" ref="W17:W22" si="8">IF(Q17&lt;&gt;"",V17*U17,"")</f>
        <v/>
      </c>
      <c r="X17" s="64" t="str">
        <f t="shared" ref="X17:X22" si="9">IF(Q17&lt;&gt;"",W17+T17,"")</f>
        <v/>
      </c>
      <c r="Y17" s="73" t="str">
        <f t="shared" ref="Y17:Y23" si="10">IF(Q17&lt;&gt;"",X17+M17,"")</f>
        <v/>
      </c>
      <c r="Z17" s="115" t="str">
        <f t="shared" ref="Z17:Z22" si="11">IF(Q17&lt;&gt;"",U17/K17,"")</f>
        <v/>
      </c>
      <c r="AA17" s="114" t="e">
        <f t="shared" ref="AA17:AA22" si="12">T17/$T$23</f>
        <v>#VALUE!</v>
      </c>
    </row>
    <row r="18" spans="1:27" ht="32.4" x14ac:dyDescent="0.3">
      <c r="A18" s="103">
        <v>4</v>
      </c>
      <c r="B18" s="112" t="s">
        <v>62</v>
      </c>
      <c r="C18" s="111" t="s">
        <v>58</v>
      </c>
      <c r="D18" s="103" t="s">
        <v>83</v>
      </c>
      <c r="E18" s="103" t="s">
        <v>60</v>
      </c>
      <c r="F18" s="145" t="s">
        <v>200</v>
      </c>
      <c r="G18" s="59"/>
      <c r="H18" s="60"/>
      <c r="I18" s="60"/>
      <c r="J18" s="61"/>
      <c r="K18" s="61">
        <f t="shared" si="0"/>
        <v>0</v>
      </c>
      <c r="L18" s="61">
        <f t="shared" si="1"/>
        <v>0</v>
      </c>
      <c r="M18" s="61">
        <f t="shared" si="2"/>
        <v>0</v>
      </c>
      <c r="N18" s="66">
        <f t="shared" si="3"/>
        <v>0</v>
      </c>
      <c r="Q18" s="69" t="str">
        <f t="shared" si="4"/>
        <v/>
      </c>
      <c r="R18" s="142" t="str">
        <f t="shared" si="4"/>
        <v/>
      </c>
      <c r="S18" s="62"/>
      <c r="T18" s="62" t="str">
        <f t="shared" si="5"/>
        <v/>
      </c>
      <c r="U18" s="63" t="str">
        <f t="shared" si="6"/>
        <v/>
      </c>
      <c r="V18" s="143" t="str">
        <f t="shared" si="7"/>
        <v/>
      </c>
      <c r="W18" s="64" t="str">
        <f t="shared" si="8"/>
        <v/>
      </c>
      <c r="X18" s="64" t="str">
        <f t="shared" si="9"/>
        <v/>
      </c>
      <c r="Y18" s="73" t="str">
        <f t="shared" si="10"/>
        <v/>
      </c>
      <c r="Z18" s="115" t="str">
        <f t="shared" si="11"/>
        <v/>
      </c>
      <c r="AA18" s="114" t="e">
        <f t="shared" si="12"/>
        <v>#VALUE!</v>
      </c>
    </row>
    <row r="19" spans="1:27" ht="32.4" x14ac:dyDescent="0.3">
      <c r="A19" s="103">
        <v>5</v>
      </c>
      <c r="B19" s="112" t="s">
        <v>64</v>
      </c>
      <c r="C19" s="111" t="s">
        <v>58</v>
      </c>
      <c r="D19" s="103" t="s">
        <v>83</v>
      </c>
      <c r="E19" s="103" t="s">
        <v>60</v>
      </c>
      <c r="F19" s="145" t="s">
        <v>201</v>
      </c>
      <c r="G19" s="59"/>
      <c r="H19" s="60"/>
      <c r="I19" s="60"/>
      <c r="J19" s="61"/>
      <c r="K19" s="61">
        <f t="shared" si="0"/>
        <v>0</v>
      </c>
      <c r="L19" s="61">
        <f t="shared" si="1"/>
        <v>0</v>
      </c>
      <c r="M19" s="61">
        <f t="shared" si="2"/>
        <v>0</v>
      </c>
      <c r="N19" s="66">
        <f t="shared" si="3"/>
        <v>0</v>
      </c>
      <c r="Q19" s="69" t="str">
        <f t="shared" si="4"/>
        <v/>
      </c>
      <c r="R19" s="142" t="str">
        <f t="shared" si="4"/>
        <v/>
      </c>
      <c r="S19" s="62"/>
      <c r="T19" s="62" t="str">
        <f t="shared" si="5"/>
        <v/>
      </c>
      <c r="U19" s="63" t="str">
        <f t="shared" si="6"/>
        <v/>
      </c>
      <c r="V19" s="143" t="str">
        <f t="shared" si="7"/>
        <v/>
      </c>
      <c r="W19" s="64" t="str">
        <f t="shared" si="8"/>
        <v/>
      </c>
      <c r="X19" s="64" t="str">
        <f t="shared" si="9"/>
        <v/>
      </c>
      <c r="Y19" s="73" t="str">
        <f t="shared" si="10"/>
        <v/>
      </c>
      <c r="Z19" s="115" t="str">
        <f t="shared" si="11"/>
        <v/>
      </c>
      <c r="AA19" s="114" t="e">
        <f t="shared" si="12"/>
        <v>#VALUE!</v>
      </c>
    </row>
    <row r="20" spans="1:27" ht="32.4" x14ac:dyDescent="0.3">
      <c r="A20" s="103">
        <v>6</v>
      </c>
      <c r="B20" s="112" t="s">
        <v>66</v>
      </c>
      <c r="C20" s="111" t="s">
        <v>58</v>
      </c>
      <c r="D20" s="103" t="s">
        <v>83</v>
      </c>
      <c r="E20" s="103" t="s">
        <v>60</v>
      </c>
      <c r="F20" s="145" t="s">
        <v>202</v>
      </c>
      <c r="G20" s="59"/>
      <c r="H20" s="60"/>
      <c r="I20" s="60"/>
      <c r="J20" s="61"/>
      <c r="K20" s="61">
        <f t="shared" si="0"/>
        <v>0</v>
      </c>
      <c r="L20" s="61">
        <f t="shared" si="1"/>
        <v>0</v>
      </c>
      <c r="M20" s="61">
        <f t="shared" si="2"/>
        <v>0</v>
      </c>
      <c r="N20" s="66">
        <f t="shared" si="3"/>
        <v>0</v>
      </c>
      <c r="Q20" s="69" t="str">
        <f t="shared" si="4"/>
        <v/>
      </c>
      <c r="R20" s="142" t="str">
        <f t="shared" si="4"/>
        <v/>
      </c>
      <c r="S20" s="62"/>
      <c r="T20" s="62" t="str">
        <f t="shared" si="5"/>
        <v/>
      </c>
      <c r="U20" s="63" t="str">
        <f t="shared" si="6"/>
        <v/>
      </c>
      <c r="V20" s="143" t="str">
        <f t="shared" si="7"/>
        <v/>
      </c>
      <c r="W20" s="64" t="str">
        <f t="shared" si="8"/>
        <v/>
      </c>
      <c r="X20" s="64" t="str">
        <f t="shared" si="9"/>
        <v/>
      </c>
      <c r="Y20" s="73" t="str">
        <f t="shared" si="10"/>
        <v/>
      </c>
      <c r="Z20" s="115" t="str">
        <f t="shared" si="11"/>
        <v/>
      </c>
      <c r="AA20" s="114" t="e">
        <f t="shared" si="12"/>
        <v>#VALUE!</v>
      </c>
    </row>
    <row r="21" spans="1:27" ht="32.4" x14ac:dyDescent="0.3">
      <c r="A21" s="103">
        <v>7</v>
      </c>
      <c r="B21" s="112" t="s">
        <v>68</v>
      </c>
      <c r="C21" s="111" t="s">
        <v>58</v>
      </c>
      <c r="D21" s="103" t="s">
        <v>83</v>
      </c>
      <c r="E21" s="103" t="s">
        <v>60</v>
      </c>
      <c r="F21" s="145" t="s">
        <v>203</v>
      </c>
      <c r="G21" s="59"/>
      <c r="H21" s="60"/>
      <c r="I21" s="60"/>
      <c r="J21" s="61"/>
      <c r="K21" s="61">
        <f t="shared" si="0"/>
        <v>0</v>
      </c>
      <c r="L21" s="61">
        <f t="shared" si="1"/>
        <v>0</v>
      </c>
      <c r="M21" s="61">
        <f t="shared" si="2"/>
        <v>0</v>
      </c>
      <c r="N21" s="66">
        <f t="shared" si="3"/>
        <v>0</v>
      </c>
      <c r="Q21" s="69" t="str">
        <f t="shared" si="4"/>
        <v/>
      </c>
      <c r="R21" s="142" t="str">
        <f t="shared" si="4"/>
        <v/>
      </c>
      <c r="S21" s="62"/>
      <c r="T21" s="62" t="str">
        <f t="shared" si="5"/>
        <v/>
      </c>
      <c r="U21" s="63" t="str">
        <f t="shared" si="6"/>
        <v/>
      </c>
      <c r="V21" s="143" t="str">
        <f t="shared" si="7"/>
        <v/>
      </c>
      <c r="W21" s="64" t="str">
        <f t="shared" si="8"/>
        <v/>
      </c>
      <c r="X21" s="64" t="str">
        <f t="shared" si="9"/>
        <v/>
      </c>
      <c r="Y21" s="73" t="str">
        <f t="shared" si="10"/>
        <v/>
      </c>
      <c r="Z21" s="115" t="str">
        <f t="shared" si="11"/>
        <v/>
      </c>
      <c r="AA21" s="114" t="e">
        <f t="shared" si="12"/>
        <v>#VALUE!</v>
      </c>
    </row>
    <row r="22" spans="1:27" ht="32.4" x14ac:dyDescent="0.3">
      <c r="A22" s="103">
        <v>8</v>
      </c>
      <c r="B22" s="112" t="s">
        <v>70</v>
      </c>
      <c r="C22" s="111" t="s">
        <v>58</v>
      </c>
      <c r="D22" s="103" t="s">
        <v>83</v>
      </c>
      <c r="E22" s="103" t="s">
        <v>60</v>
      </c>
      <c r="F22" s="145" t="s">
        <v>203</v>
      </c>
      <c r="G22" s="113"/>
      <c r="H22" s="54"/>
      <c r="I22" s="54"/>
      <c r="J22" s="55"/>
      <c r="K22" s="55">
        <f t="shared" si="0"/>
        <v>0</v>
      </c>
      <c r="L22" s="55">
        <f t="shared" si="1"/>
        <v>0</v>
      </c>
      <c r="M22" s="55">
        <f t="shared" si="2"/>
        <v>0</v>
      </c>
      <c r="N22" s="74">
        <f t="shared" si="3"/>
        <v>0</v>
      </c>
      <c r="Q22" s="75" t="str">
        <f t="shared" si="4"/>
        <v/>
      </c>
      <c r="R22" s="140" t="str">
        <f t="shared" si="4"/>
        <v/>
      </c>
      <c r="S22" s="56"/>
      <c r="T22" s="56" t="str">
        <f t="shared" si="5"/>
        <v/>
      </c>
      <c r="U22" s="58" t="str">
        <f t="shared" si="6"/>
        <v/>
      </c>
      <c r="V22" s="141" t="str">
        <f t="shared" si="7"/>
        <v/>
      </c>
      <c r="W22" s="57" t="str">
        <f t="shared" si="8"/>
        <v/>
      </c>
      <c r="X22" s="57" t="str">
        <f t="shared" si="9"/>
        <v/>
      </c>
      <c r="Y22" s="76" t="str">
        <f t="shared" si="10"/>
        <v/>
      </c>
      <c r="Z22" s="115" t="str">
        <f t="shared" si="11"/>
        <v/>
      </c>
      <c r="AA22" s="114" t="e">
        <f t="shared" si="12"/>
        <v>#VALUE!</v>
      </c>
    </row>
    <row r="23" spans="1:27" ht="33" thickBot="1" x14ac:dyDescent="0.4">
      <c r="A23" s="109">
        <v>9</v>
      </c>
      <c r="B23" s="109"/>
      <c r="C23" s="109" t="s">
        <v>75</v>
      </c>
      <c r="D23" s="109"/>
      <c r="E23" s="109"/>
      <c r="F23" s="955" t="s">
        <v>204</v>
      </c>
      <c r="G23" s="956"/>
      <c r="H23" s="956"/>
      <c r="I23" s="956"/>
      <c r="J23" s="956"/>
      <c r="K23" s="68">
        <f>SUM(K17:K22)</f>
        <v>0</v>
      </c>
      <c r="L23" s="68">
        <f>SUM(L17:L22)</f>
        <v>0</v>
      </c>
      <c r="M23" s="68">
        <f>SUM(M17:M22)</f>
        <v>0</v>
      </c>
      <c r="N23" s="189">
        <f>SUM(N17:N22)</f>
        <v>0</v>
      </c>
      <c r="Q23" s="957" t="s">
        <v>196</v>
      </c>
      <c r="R23" s="958"/>
      <c r="S23" s="958"/>
      <c r="T23" s="67">
        <f>SUM(T17:T22)</f>
        <v>0</v>
      </c>
      <c r="U23" s="70">
        <f>SUM(U17:U22)</f>
        <v>0</v>
      </c>
      <c r="V23" s="71"/>
      <c r="W23" s="71"/>
      <c r="X23" s="72">
        <f>SUM(X17:X22)</f>
        <v>0</v>
      </c>
      <c r="Y23" s="211">
        <f t="shared" si="10"/>
        <v>0</v>
      </c>
    </row>
  </sheetData>
  <mergeCells count="13">
    <mergeCell ref="F23:J23"/>
    <mergeCell ref="Q23:S23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2">
    <dataValidation type="list" allowBlank="1" showInputMessage="1" showErrorMessage="1" sqref="D17:D22" xr:uid="{2D1D21DE-A6C2-4C36-B852-05237E80816E}">
      <formula1>"INTERNO,OPERACIONAL"</formula1>
    </dataValidation>
    <dataValidation type="list" allowBlank="1" showInputMessage="1" showErrorMessage="1" sqref="E17:E22" xr:uid="{4D6BE7AA-E724-40ED-9976-3A8D3F85D6EE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1746" r:id="rId4" name="Label2">
          <controlPr defaultSize="0" autoLine="0" r:id="rId5">
            <anchor>
              <from>
                <xdr:col>21</xdr:col>
                <xdr:colOff>1234440</xdr:colOff>
                <xdr:row>0</xdr:row>
                <xdr:rowOff>213360</xdr:rowOff>
              </from>
              <to>
                <xdr:col>22</xdr:col>
                <xdr:colOff>236220</xdr:colOff>
                <xdr:row>1</xdr:row>
                <xdr:rowOff>114300</xdr:rowOff>
              </to>
            </anchor>
          </controlPr>
        </control>
      </mc:Choice>
      <mc:Fallback>
        <control shapeId="31746" r:id="rId4" name="Label2"/>
      </mc:Fallback>
    </mc:AlternateContent>
    <mc:AlternateContent xmlns:mc="http://schemas.openxmlformats.org/markup-compatibility/2006">
      <mc:Choice Requires="x14">
        <control shapeId="31745" r:id="rId6" name="Label1">
          <controlPr defaultSize="0" autoLine="0" r:id="rId7">
            <anchor>
              <from>
                <xdr:col>1</xdr:col>
                <xdr:colOff>259080</xdr:colOff>
                <xdr:row>0</xdr:row>
                <xdr:rowOff>144780</xdr:rowOff>
              </from>
              <to>
                <xdr:col>2</xdr:col>
                <xdr:colOff>640080</xdr:colOff>
                <xdr:row>1</xdr:row>
                <xdr:rowOff>60960</xdr:rowOff>
              </to>
            </anchor>
          </controlPr>
        </control>
      </mc:Choice>
      <mc:Fallback>
        <control shapeId="31745" r:id="rId6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0E02-361F-49E4-81FE-CB9EF8732BDC}">
  <sheetPr codeName="Planilha22">
    <tabColor theme="0"/>
    <pageSetUpPr autoPageBreaks="0"/>
  </sheetPr>
  <dimension ref="A1:AL23"/>
  <sheetViews>
    <sheetView showGridLines="0" zoomScale="60" zoomScaleNormal="60" workbookViewId="0">
      <pane ySplit="1" topLeftCell="A7" activePane="bottomLeft" state="frozen"/>
      <selection activeCell="AC1" sqref="AC1"/>
      <selection pane="bottomLeft" activeCell="F16" sqref="F16:K16"/>
    </sheetView>
  </sheetViews>
  <sheetFormatPr defaultRowHeight="14.4" x14ac:dyDescent="0.3"/>
  <cols>
    <col min="1" max="1" width="5.77734375" customWidth="1"/>
    <col min="2" max="2" width="8.21875" customWidth="1"/>
    <col min="3" max="3" width="14.21875" customWidth="1"/>
    <col min="4" max="4" width="13.44140625" customWidth="1"/>
    <col min="5" max="5" width="30.5546875" bestFit="1" customWidth="1"/>
    <col min="6" max="6" width="33.21875" customWidth="1"/>
    <col min="7" max="7" width="54.77734375" customWidth="1"/>
    <col min="8" max="8" width="7.77734375" style="53" customWidth="1"/>
    <col min="9" max="9" width="9.44140625" style="53" customWidth="1"/>
    <col min="10" max="10" width="20.21875" customWidth="1"/>
    <col min="11" max="11" width="25.21875" customWidth="1"/>
    <col min="12" max="13" width="24.77734375" customWidth="1"/>
    <col min="14" max="14" width="26" customWidth="1"/>
    <col min="15" max="15" width="3.21875" customWidth="1"/>
    <col min="16" max="16" width="4.21875" customWidth="1"/>
    <col min="17" max="17" width="8.77734375" style="53" customWidth="1"/>
    <col min="18" max="18" width="11.21875" style="53" customWidth="1"/>
    <col min="19" max="19" width="24.21875" customWidth="1"/>
    <col min="20" max="20" width="28.77734375" customWidth="1"/>
    <col min="21" max="23" width="28.21875" customWidth="1"/>
    <col min="24" max="25" width="27.77734375" customWidth="1"/>
    <col min="26" max="26" width="18.5546875" customWidth="1"/>
    <col min="27" max="27" width="27.77734375" customWidth="1"/>
    <col min="28" max="28" width="48.44140625" customWidth="1"/>
    <col min="29" max="30" width="33" customWidth="1"/>
    <col min="31" max="31" width="28" customWidth="1"/>
    <col min="32" max="32" width="1.21875" customWidth="1"/>
    <col min="33" max="33" width="81.5546875" customWidth="1"/>
    <col min="34" max="34" width="36.77734375" customWidth="1"/>
    <col min="35" max="35" width="1.5546875" customWidth="1"/>
    <col min="36" max="36" width="20.21875" customWidth="1"/>
    <col min="37" max="37" width="25.21875" bestFit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104"/>
      <c r="C1" s="105"/>
      <c r="D1" s="105"/>
      <c r="F1" s="959" t="s">
        <v>0</v>
      </c>
      <c r="G1" s="959"/>
    </row>
    <row r="2" spans="1:38" ht="24.75" customHeight="1" x14ac:dyDescent="0.3">
      <c r="B2" s="53"/>
      <c r="D2" s="105"/>
      <c r="F2" s="960" t="s">
        <v>1</v>
      </c>
      <c r="G2" s="960"/>
    </row>
    <row r="3" spans="1:38" ht="18" x14ac:dyDescent="0.35">
      <c r="B3" s="106"/>
      <c r="F3" s="89"/>
      <c r="G3" s="89"/>
    </row>
    <row r="4" spans="1:38" ht="18" x14ac:dyDescent="0.3">
      <c r="F4" s="94" t="s">
        <v>176</v>
      </c>
      <c r="G4" s="95"/>
    </row>
    <row r="5" spans="1:38" ht="18" x14ac:dyDescent="0.3">
      <c r="F5" s="96" t="s">
        <v>177</v>
      </c>
      <c r="G5" s="97"/>
    </row>
    <row r="6" spans="1:38" ht="18" x14ac:dyDescent="0.3">
      <c r="F6" s="96" t="s">
        <v>178</v>
      </c>
      <c r="G6" s="98"/>
    </row>
    <row r="7" spans="1:38" ht="21.75" customHeight="1" x14ac:dyDescent="0.3">
      <c r="F7" s="96" t="s">
        <v>179</v>
      </c>
      <c r="G7" s="99"/>
    </row>
    <row r="8" spans="1:38" ht="18" x14ac:dyDescent="0.3">
      <c r="F8" s="96" t="s">
        <v>180</v>
      </c>
      <c r="G8" s="100"/>
    </row>
    <row r="9" spans="1:38" ht="18" x14ac:dyDescent="0.3">
      <c r="F9" s="96" t="s">
        <v>7</v>
      </c>
      <c r="G9" s="99"/>
      <c r="M9">
        <v>0.80469999999999997</v>
      </c>
    </row>
    <row r="10" spans="1:38" ht="27" customHeight="1" x14ac:dyDescent="0.3">
      <c r="F10" s="96" t="s">
        <v>181</v>
      </c>
      <c r="G10" s="99"/>
      <c r="M10">
        <f>1-M9</f>
        <v>0.19530000000000003</v>
      </c>
    </row>
    <row r="11" spans="1:38" ht="18.600000000000001" thickBot="1" x14ac:dyDescent="0.35">
      <c r="F11" s="101" t="s">
        <v>182</v>
      </c>
      <c r="G11" s="102"/>
    </row>
    <row r="12" spans="1:38" ht="16.8" thickBot="1" x14ac:dyDescent="0.35">
      <c r="B12" s="77"/>
      <c r="M12" s="84"/>
      <c r="Q12" s="961" t="s">
        <v>11</v>
      </c>
      <c r="R12" s="962"/>
      <c r="S12" s="962"/>
      <c r="T12" s="963"/>
      <c r="U12" s="947" t="s">
        <v>12</v>
      </c>
      <c r="V12" s="948"/>
      <c r="W12" s="948"/>
      <c r="X12" s="949"/>
      <c r="Y12" s="86" t="s">
        <v>13</v>
      </c>
      <c r="Z12" s="210">
        <f>(1/(1-M14))-1</f>
        <v>0.23456790123456783</v>
      </c>
      <c r="AC12" s="950" t="s">
        <v>14</v>
      </c>
      <c r="AD12" s="951"/>
      <c r="AE12" s="952"/>
      <c r="AG12" s="953" t="s">
        <v>15</v>
      </c>
      <c r="AH12" s="954"/>
      <c r="AJ12" s="52" t="s">
        <v>16</v>
      </c>
      <c r="AK12" s="935" t="s">
        <v>17</v>
      </c>
      <c r="AL12" s="936"/>
    </row>
    <row r="13" spans="1:38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85">
        <v>0.81</v>
      </c>
    </row>
    <row r="14" spans="1:38" ht="33" thickBot="1" x14ac:dyDescent="0.35">
      <c r="A14" s="78">
        <v>0</v>
      </c>
      <c r="B14" s="79"/>
      <c r="C14" s="80"/>
      <c r="D14" s="103"/>
      <c r="E14" s="103"/>
      <c r="F14" s="127" t="s">
        <v>23</v>
      </c>
      <c r="G14" s="128" t="s">
        <v>24</v>
      </c>
      <c r="H14" s="129" t="s">
        <v>25</v>
      </c>
      <c r="I14" s="129" t="s">
        <v>26</v>
      </c>
      <c r="J14" s="130" t="s">
        <v>27</v>
      </c>
      <c r="K14" s="131" t="s">
        <v>28</v>
      </c>
      <c r="L14" s="132">
        <v>0.09</v>
      </c>
      <c r="M14" s="133">
        <f>1-M13</f>
        <v>0.18999999999999995</v>
      </c>
      <c r="N14" s="134" t="s">
        <v>29</v>
      </c>
      <c r="Q14" s="120" t="s">
        <v>30</v>
      </c>
      <c r="R14" s="121" t="s">
        <v>31</v>
      </c>
      <c r="S14" s="122" t="s">
        <v>32</v>
      </c>
      <c r="T14" s="123" t="s">
        <v>33</v>
      </c>
      <c r="U14" s="124" t="s">
        <v>34</v>
      </c>
      <c r="V14" s="125" t="s">
        <v>35</v>
      </c>
      <c r="W14" s="126" t="s">
        <v>36</v>
      </c>
      <c r="X14" s="126" t="s">
        <v>37</v>
      </c>
      <c r="Y14" s="208" t="s">
        <v>38</v>
      </c>
      <c r="Z14" s="119" t="s">
        <v>39</v>
      </c>
      <c r="AA14" s="81" t="s">
        <v>40</v>
      </c>
      <c r="AC14" s="82" t="s">
        <v>41</v>
      </c>
      <c r="AD14" s="83" t="s">
        <v>42</v>
      </c>
      <c r="AE14" s="83" t="s">
        <v>43</v>
      </c>
      <c r="AG14" s="90" t="s">
        <v>44</v>
      </c>
      <c r="AH14" s="91" t="s">
        <v>45</v>
      </c>
      <c r="AI14" t="s">
        <v>46</v>
      </c>
      <c r="AJ14" t="s">
        <v>46</v>
      </c>
      <c r="AK14" s="92" t="s">
        <v>47</v>
      </c>
      <c r="AL14" s="93" t="s">
        <v>48</v>
      </c>
    </row>
    <row r="15" spans="1:38" ht="18.600000000000001" thickBot="1" x14ac:dyDescent="0.4">
      <c r="A15" s="108">
        <v>1</v>
      </c>
      <c r="B15" s="112">
        <v>1</v>
      </c>
      <c r="C15" s="107" t="s">
        <v>49</v>
      </c>
      <c r="D15" s="108"/>
      <c r="E15" s="108"/>
      <c r="F15" s="937" t="s">
        <v>205</v>
      </c>
      <c r="G15" s="938"/>
      <c r="H15" s="938"/>
      <c r="I15" s="938"/>
      <c r="J15" s="938"/>
      <c r="K15" s="938"/>
      <c r="L15" s="938"/>
      <c r="M15" s="938"/>
      <c r="N15" s="939"/>
      <c r="Q15" s="940" t="str">
        <f>IF(F15&lt;&gt;"",F15,"")</f>
        <v>Opções do Hotel | 06</v>
      </c>
      <c r="R15" s="941"/>
      <c r="S15" s="941"/>
      <c r="T15" s="941"/>
      <c r="U15" s="941"/>
      <c r="V15" s="941"/>
      <c r="W15" s="941"/>
      <c r="X15" s="941"/>
      <c r="Y15" s="942"/>
    </row>
    <row r="16" spans="1:38" ht="18" x14ac:dyDescent="0.35">
      <c r="A16" s="103">
        <v>2</v>
      </c>
      <c r="B16" s="112" t="s">
        <v>51</v>
      </c>
      <c r="C16" s="111" t="s">
        <v>52</v>
      </c>
      <c r="D16" s="103"/>
      <c r="E16" s="103"/>
      <c r="F16" s="943" t="s">
        <v>206</v>
      </c>
      <c r="G16" s="944"/>
      <c r="H16" s="944"/>
      <c r="I16" s="944"/>
      <c r="J16" s="944"/>
      <c r="K16" s="945"/>
      <c r="L16" s="65" t="s">
        <v>54</v>
      </c>
      <c r="M16" s="65" t="s">
        <v>55</v>
      </c>
      <c r="N16" s="146" t="s">
        <v>29</v>
      </c>
      <c r="Q16" s="943" t="str">
        <f>IF(F16&lt;&gt;"",F16,"")</f>
        <v>Renaissance</v>
      </c>
      <c r="R16" s="944"/>
      <c r="S16" s="944"/>
      <c r="T16" s="944"/>
      <c r="U16" s="944"/>
      <c r="V16" s="944"/>
      <c r="W16" s="944"/>
      <c r="X16" s="944"/>
      <c r="Y16" s="946"/>
      <c r="Z16" s="147" t="s">
        <v>56</v>
      </c>
      <c r="AA16" s="188" t="s">
        <v>40</v>
      </c>
    </row>
    <row r="17" spans="1:27" ht="32.4" x14ac:dyDescent="0.3">
      <c r="A17" s="103">
        <v>3</v>
      </c>
      <c r="B17" s="112" t="s">
        <v>57</v>
      </c>
      <c r="C17" s="111" t="s">
        <v>58</v>
      </c>
      <c r="D17" s="103" t="s">
        <v>83</v>
      </c>
      <c r="E17" s="103" t="s">
        <v>60</v>
      </c>
      <c r="F17" s="145" t="s">
        <v>207</v>
      </c>
      <c r="G17" s="59"/>
      <c r="H17" s="60"/>
      <c r="I17" s="60"/>
      <c r="J17" s="61"/>
      <c r="K17" s="61">
        <f t="shared" ref="K17:K22" si="0">IF(F17&lt;&gt;"",H17*I17*J17,"")</f>
        <v>0</v>
      </c>
      <c r="L17" s="61">
        <f t="shared" ref="L17:L22" si="1">IF(K17&lt;&gt;"",IF(D17="INTERNO",0,K17*$L$14),"")</f>
        <v>0</v>
      </c>
      <c r="M17" s="61">
        <f t="shared" ref="M17:M22" si="2">IF(K17&lt;&gt;"",IF(E17="FAT.OGGI",SUM(K17:L17)*(1/(1-$M$14)-1),L17*(1/(1-$M$14)-1)),"")</f>
        <v>0</v>
      </c>
      <c r="N17" s="66">
        <f t="shared" ref="N17:N22" si="3">SUM(K17:M17)</f>
        <v>0</v>
      </c>
      <c r="Q17" s="69" t="str">
        <f t="shared" ref="Q17:R22" si="4">IF(H17&lt;&gt;"",H17,"")</f>
        <v/>
      </c>
      <c r="R17" s="142" t="str">
        <f t="shared" si="4"/>
        <v/>
      </c>
      <c r="S17" s="62"/>
      <c r="T17" s="62" t="str">
        <f t="shared" ref="T17:T22" si="5">IF(Q17&lt;&gt;"",Q17*R17*S17,"")</f>
        <v/>
      </c>
      <c r="U17" s="63" t="str">
        <f t="shared" ref="U17:U22" si="6">IF(Q17&lt;&gt;"",K17-T17,"")</f>
        <v/>
      </c>
      <c r="V17" s="143" t="str">
        <f t="shared" ref="V17:V22" si="7">IF(Q17&lt;&gt;"",0%,"")</f>
        <v/>
      </c>
      <c r="W17" s="64" t="str">
        <f t="shared" ref="W17:W22" si="8">IF(Q17&lt;&gt;"",V17*U17,"")</f>
        <v/>
      </c>
      <c r="X17" s="64" t="str">
        <f t="shared" ref="X17:X22" si="9">IF(Q17&lt;&gt;"",W17+T17,"")</f>
        <v/>
      </c>
      <c r="Y17" s="73" t="str">
        <f t="shared" ref="Y17:Y23" si="10">IF(Q17&lt;&gt;"",X17+M17,"")</f>
        <v/>
      </c>
      <c r="Z17" s="115" t="str">
        <f t="shared" ref="Z17:Z22" si="11">IF(Q17&lt;&gt;"",U17/K17,"")</f>
        <v/>
      </c>
      <c r="AA17" s="114" t="e">
        <f t="shared" ref="AA17:AA22" si="12">T17/$T$23</f>
        <v>#VALUE!</v>
      </c>
    </row>
    <row r="18" spans="1:27" ht="32.4" x14ac:dyDescent="0.3">
      <c r="A18" s="103">
        <v>4</v>
      </c>
      <c r="B18" s="112" t="s">
        <v>62</v>
      </c>
      <c r="C18" s="111" t="s">
        <v>58</v>
      </c>
      <c r="D18" s="103" t="s">
        <v>83</v>
      </c>
      <c r="E18" s="103" t="s">
        <v>60</v>
      </c>
      <c r="F18" s="145" t="s">
        <v>208</v>
      </c>
      <c r="G18" s="59"/>
      <c r="H18" s="60"/>
      <c r="I18" s="60"/>
      <c r="J18" s="61"/>
      <c r="K18" s="61">
        <f t="shared" si="0"/>
        <v>0</v>
      </c>
      <c r="L18" s="61">
        <f t="shared" si="1"/>
        <v>0</v>
      </c>
      <c r="M18" s="61">
        <f t="shared" si="2"/>
        <v>0</v>
      </c>
      <c r="N18" s="66">
        <f t="shared" si="3"/>
        <v>0</v>
      </c>
      <c r="Q18" s="69" t="str">
        <f t="shared" si="4"/>
        <v/>
      </c>
      <c r="R18" s="142" t="str">
        <f t="shared" si="4"/>
        <v/>
      </c>
      <c r="S18" s="62"/>
      <c r="T18" s="62" t="str">
        <f t="shared" si="5"/>
        <v/>
      </c>
      <c r="U18" s="63" t="str">
        <f t="shared" si="6"/>
        <v/>
      </c>
      <c r="V18" s="143" t="str">
        <f t="shared" si="7"/>
        <v/>
      </c>
      <c r="W18" s="64" t="str">
        <f t="shared" si="8"/>
        <v/>
      </c>
      <c r="X18" s="64" t="str">
        <f t="shared" si="9"/>
        <v/>
      </c>
      <c r="Y18" s="73" t="str">
        <f t="shared" si="10"/>
        <v/>
      </c>
      <c r="Z18" s="115" t="str">
        <f t="shared" si="11"/>
        <v/>
      </c>
      <c r="AA18" s="114" t="e">
        <f t="shared" si="12"/>
        <v>#VALUE!</v>
      </c>
    </row>
    <row r="19" spans="1:27" ht="32.4" x14ac:dyDescent="0.3">
      <c r="A19" s="103">
        <v>5</v>
      </c>
      <c r="B19" s="112" t="s">
        <v>64</v>
      </c>
      <c r="C19" s="111" t="s">
        <v>58</v>
      </c>
      <c r="D19" s="103" t="s">
        <v>83</v>
      </c>
      <c r="E19" s="103" t="s">
        <v>60</v>
      </c>
      <c r="F19" s="145" t="s">
        <v>209</v>
      </c>
      <c r="G19" s="59"/>
      <c r="H19" s="60"/>
      <c r="I19" s="60"/>
      <c r="J19" s="61"/>
      <c r="K19" s="61">
        <f t="shared" si="0"/>
        <v>0</v>
      </c>
      <c r="L19" s="61">
        <f t="shared" si="1"/>
        <v>0</v>
      </c>
      <c r="M19" s="61">
        <f t="shared" si="2"/>
        <v>0</v>
      </c>
      <c r="N19" s="66">
        <f t="shared" si="3"/>
        <v>0</v>
      </c>
      <c r="Q19" s="69" t="str">
        <f t="shared" si="4"/>
        <v/>
      </c>
      <c r="R19" s="142" t="str">
        <f t="shared" si="4"/>
        <v/>
      </c>
      <c r="S19" s="62"/>
      <c r="T19" s="62" t="str">
        <f t="shared" si="5"/>
        <v/>
      </c>
      <c r="U19" s="63" t="str">
        <f t="shared" si="6"/>
        <v/>
      </c>
      <c r="V19" s="143" t="str">
        <f t="shared" si="7"/>
        <v/>
      </c>
      <c r="W19" s="64" t="str">
        <f t="shared" si="8"/>
        <v/>
      </c>
      <c r="X19" s="64" t="str">
        <f t="shared" si="9"/>
        <v/>
      </c>
      <c r="Y19" s="73" t="str">
        <f t="shared" si="10"/>
        <v/>
      </c>
      <c r="Z19" s="115" t="str">
        <f t="shared" si="11"/>
        <v/>
      </c>
      <c r="AA19" s="114" t="e">
        <f t="shared" si="12"/>
        <v>#VALUE!</v>
      </c>
    </row>
    <row r="20" spans="1:27" ht="32.4" x14ac:dyDescent="0.3">
      <c r="A20" s="103">
        <v>6</v>
      </c>
      <c r="B20" s="112" t="s">
        <v>66</v>
      </c>
      <c r="C20" s="111" t="s">
        <v>58</v>
      </c>
      <c r="D20" s="103" t="s">
        <v>83</v>
      </c>
      <c r="E20" s="103" t="s">
        <v>60</v>
      </c>
      <c r="F20" s="145" t="s">
        <v>210</v>
      </c>
      <c r="G20" s="59"/>
      <c r="H20" s="60"/>
      <c r="I20" s="60"/>
      <c r="J20" s="61"/>
      <c r="K20" s="61">
        <f t="shared" si="0"/>
        <v>0</v>
      </c>
      <c r="L20" s="61">
        <f t="shared" si="1"/>
        <v>0</v>
      </c>
      <c r="M20" s="61">
        <f t="shared" si="2"/>
        <v>0</v>
      </c>
      <c r="N20" s="66">
        <f t="shared" si="3"/>
        <v>0</v>
      </c>
      <c r="Q20" s="69" t="str">
        <f t="shared" si="4"/>
        <v/>
      </c>
      <c r="R20" s="142" t="str">
        <f t="shared" si="4"/>
        <v/>
      </c>
      <c r="S20" s="62"/>
      <c r="T20" s="62" t="str">
        <f t="shared" si="5"/>
        <v/>
      </c>
      <c r="U20" s="63" t="str">
        <f t="shared" si="6"/>
        <v/>
      </c>
      <c r="V20" s="143" t="str">
        <f t="shared" si="7"/>
        <v/>
      </c>
      <c r="W20" s="64" t="str">
        <f t="shared" si="8"/>
        <v/>
      </c>
      <c r="X20" s="64" t="str">
        <f t="shared" si="9"/>
        <v/>
      </c>
      <c r="Y20" s="73" t="str">
        <f t="shared" si="10"/>
        <v/>
      </c>
      <c r="Z20" s="115" t="str">
        <f t="shared" si="11"/>
        <v/>
      </c>
      <c r="AA20" s="114" t="e">
        <f t="shared" si="12"/>
        <v>#VALUE!</v>
      </c>
    </row>
    <row r="21" spans="1:27" ht="32.4" x14ac:dyDescent="0.3">
      <c r="A21" s="103">
        <v>7</v>
      </c>
      <c r="B21" s="112" t="s">
        <v>68</v>
      </c>
      <c r="C21" s="111" t="s">
        <v>58</v>
      </c>
      <c r="D21" s="103" t="s">
        <v>83</v>
      </c>
      <c r="E21" s="103" t="s">
        <v>60</v>
      </c>
      <c r="F21" s="145" t="s">
        <v>211</v>
      </c>
      <c r="G21" s="59"/>
      <c r="H21" s="60"/>
      <c r="I21" s="60"/>
      <c r="J21" s="61"/>
      <c r="K21" s="61">
        <f t="shared" si="0"/>
        <v>0</v>
      </c>
      <c r="L21" s="61">
        <f t="shared" si="1"/>
        <v>0</v>
      </c>
      <c r="M21" s="61">
        <f t="shared" si="2"/>
        <v>0</v>
      </c>
      <c r="N21" s="66">
        <f t="shared" si="3"/>
        <v>0</v>
      </c>
      <c r="Q21" s="69" t="str">
        <f t="shared" si="4"/>
        <v/>
      </c>
      <c r="R21" s="142" t="str">
        <f t="shared" si="4"/>
        <v/>
      </c>
      <c r="S21" s="62"/>
      <c r="T21" s="62" t="str">
        <f t="shared" si="5"/>
        <v/>
      </c>
      <c r="U21" s="63" t="str">
        <f t="shared" si="6"/>
        <v/>
      </c>
      <c r="V21" s="143" t="str">
        <f t="shared" si="7"/>
        <v/>
      </c>
      <c r="W21" s="64" t="str">
        <f t="shared" si="8"/>
        <v/>
      </c>
      <c r="X21" s="64" t="str">
        <f t="shared" si="9"/>
        <v/>
      </c>
      <c r="Y21" s="73" t="str">
        <f t="shared" si="10"/>
        <v/>
      </c>
      <c r="Z21" s="115" t="str">
        <f t="shared" si="11"/>
        <v/>
      </c>
      <c r="AA21" s="114" t="e">
        <f t="shared" si="12"/>
        <v>#VALUE!</v>
      </c>
    </row>
    <row r="22" spans="1:27" ht="32.4" x14ac:dyDescent="0.3">
      <c r="A22" s="103">
        <v>8</v>
      </c>
      <c r="B22" s="112" t="s">
        <v>70</v>
      </c>
      <c r="C22" s="111" t="s">
        <v>58</v>
      </c>
      <c r="D22" s="103" t="s">
        <v>83</v>
      </c>
      <c r="E22" s="103" t="s">
        <v>60</v>
      </c>
      <c r="F22" s="145" t="s">
        <v>211</v>
      </c>
      <c r="G22" s="113"/>
      <c r="H22" s="54"/>
      <c r="I22" s="54"/>
      <c r="J22" s="55"/>
      <c r="K22" s="55">
        <f t="shared" si="0"/>
        <v>0</v>
      </c>
      <c r="L22" s="55">
        <f t="shared" si="1"/>
        <v>0</v>
      </c>
      <c r="M22" s="55">
        <f t="shared" si="2"/>
        <v>0</v>
      </c>
      <c r="N22" s="74">
        <f t="shared" si="3"/>
        <v>0</v>
      </c>
      <c r="Q22" s="75" t="str">
        <f t="shared" si="4"/>
        <v/>
      </c>
      <c r="R22" s="140" t="str">
        <f t="shared" si="4"/>
        <v/>
      </c>
      <c r="S22" s="56"/>
      <c r="T22" s="56" t="str">
        <f t="shared" si="5"/>
        <v/>
      </c>
      <c r="U22" s="58" t="str">
        <f t="shared" si="6"/>
        <v/>
      </c>
      <c r="V22" s="141" t="str">
        <f t="shared" si="7"/>
        <v/>
      </c>
      <c r="W22" s="57" t="str">
        <f t="shared" si="8"/>
        <v/>
      </c>
      <c r="X22" s="57" t="str">
        <f t="shared" si="9"/>
        <v/>
      </c>
      <c r="Y22" s="76" t="str">
        <f t="shared" si="10"/>
        <v/>
      </c>
      <c r="Z22" s="115" t="str">
        <f t="shared" si="11"/>
        <v/>
      </c>
      <c r="AA22" s="114" t="e">
        <f t="shared" si="12"/>
        <v>#VALUE!</v>
      </c>
    </row>
    <row r="23" spans="1:27" ht="33" thickBot="1" x14ac:dyDescent="0.4">
      <c r="A23" s="109">
        <v>9</v>
      </c>
      <c r="B23" s="109"/>
      <c r="C23" s="109" t="s">
        <v>75</v>
      </c>
      <c r="D23" s="109"/>
      <c r="E23" s="109"/>
      <c r="F23" s="955" t="s">
        <v>212</v>
      </c>
      <c r="G23" s="956"/>
      <c r="H23" s="956"/>
      <c r="I23" s="956"/>
      <c r="J23" s="956"/>
      <c r="K23" s="68">
        <f>SUM(K17:K22)</f>
        <v>0</v>
      </c>
      <c r="L23" s="68">
        <f>SUM(L17:L22)</f>
        <v>0</v>
      </c>
      <c r="M23" s="68">
        <f>SUM(M17:M22)</f>
        <v>0</v>
      </c>
      <c r="N23" s="189">
        <f>SUM(N17:N22)</f>
        <v>0</v>
      </c>
      <c r="Q23" s="957" t="s">
        <v>196</v>
      </c>
      <c r="R23" s="958"/>
      <c r="S23" s="958"/>
      <c r="T23" s="67">
        <f>SUM(T17:T22)</f>
        <v>0</v>
      </c>
      <c r="U23" s="70">
        <f>SUM(U17:U22)</f>
        <v>0</v>
      </c>
      <c r="V23" s="71"/>
      <c r="W23" s="71"/>
      <c r="X23" s="72">
        <f>SUM(X17:X22)</f>
        <v>0</v>
      </c>
      <c r="Y23" s="211">
        <f t="shared" si="10"/>
        <v>0</v>
      </c>
    </row>
  </sheetData>
  <mergeCells count="13">
    <mergeCell ref="F23:J23"/>
    <mergeCell ref="Q23:S23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2">
    <dataValidation type="list" allowBlank="1" showInputMessage="1" showErrorMessage="1" sqref="D17:D22" xr:uid="{7454806C-CED2-4903-88E8-24BCA13AE9DC}">
      <formula1>"INTERNO,OPERACIONAL"</formula1>
    </dataValidation>
    <dataValidation type="list" allowBlank="1" showInputMessage="1" showErrorMessage="1" sqref="E17:E22" xr:uid="{5A44F55B-F226-40AB-B33F-0DC1B18DA7C7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2770" r:id="rId4" name="Label2">
          <controlPr defaultSize="0" autoLine="0" r:id="rId5">
            <anchor>
              <from>
                <xdr:col>21</xdr:col>
                <xdr:colOff>1234440</xdr:colOff>
                <xdr:row>0</xdr:row>
                <xdr:rowOff>213360</xdr:rowOff>
              </from>
              <to>
                <xdr:col>22</xdr:col>
                <xdr:colOff>236220</xdr:colOff>
                <xdr:row>1</xdr:row>
                <xdr:rowOff>114300</xdr:rowOff>
              </to>
            </anchor>
          </controlPr>
        </control>
      </mc:Choice>
      <mc:Fallback>
        <control shapeId="32770" r:id="rId4" name="Label2"/>
      </mc:Fallback>
    </mc:AlternateContent>
    <mc:AlternateContent xmlns:mc="http://schemas.openxmlformats.org/markup-compatibility/2006">
      <mc:Choice Requires="x14">
        <control shapeId="32769" r:id="rId6" name="Label1">
          <controlPr defaultSize="0" autoLine="0" r:id="rId7">
            <anchor>
              <from>
                <xdr:col>1</xdr:col>
                <xdr:colOff>259080</xdr:colOff>
                <xdr:row>0</xdr:row>
                <xdr:rowOff>144780</xdr:rowOff>
              </from>
              <to>
                <xdr:col>2</xdr:col>
                <xdr:colOff>640080</xdr:colOff>
                <xdr:row>1</xdr:row>
                <xdr:rowOff>60960</xdr:rowOff>
              </to>
            </anchor>
          </controlPr>
        </control>
      </mc:Choice>
      <mc:Fallback>
        <control shapeId="32769" r:id="rId6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D611-DD54-48F8-A6F2-83CF5279B4D0}">
  <sheetPr codeName="Planilha19">
    <tabColor theme="0"/>
    <pageSetUpPr autoPageBreaks="0"/>
  </sheetPr>
  <dimension ref="A1:AL23"/>
  <sheetViews>
    <sheetView showGridLines="0" zoomScale="60" zoomScaleNormal="60" workbookViewId="0">
      <pane ySplit="1" topLeftCell="A2" activePane="bottomLeft" state="frozen"/>
      <selection activeCell="AC1" sqref="AC1"/>
      <selection pane="bottomLeft" activeCell="G32" sqref="G32"/>
    </sheetView>
  </sheetViews>
  <sheetFormatPr defaultRowHeight="14.4" x14ac:dyDescent="0.3"/>
  <cols>
    <col min="1" max="1" width="5.77734375" customWidth="1"/>
    <col min="2" max="2" width="8.21875" customWidth="1"/>
    <col min="3" max="3" width="14.21875" customWidth="1"/>
    <col min="4" max="4" width="13.44140625" customWidth="1"/>
    <col min="5" max="5" width="30.5546875" bestFit="1" customWidth="1"/>
    <col min="6" max="6" width="33.21875" customWidth="1"/>
    <col min="7" max="7" width="54.77734375" customWidth="1"/>
    <col min="8" max="8" width="7.77734375" style="53" customWidth="1"/>
    <col min="9" max="9" width="9.44140625" style="53" customWidth="1"/>
    <col min="10" max="10" width="20.21875" customWidth="1"/>
    <col min="11" max="11" width="25.21875" customWidth="1"/>
    <col min="12" max="13" width="24.77734375" customWidth="1"/>
    <col min="14" max="14" width="26" customWidth="1"/>
    <col min="15" max="15" width="3.21875" customWidth="1"/>
    <col min="16" max="16" width="4.21875" customWidth="1"/>
    <col min="17" max="17" width="8.77734375" style="53" customWidth="1"/>
    <col min="18" max="18" width="11.21875" style="53" customWidth="1"/>
    <col min="19" max="19" width="24.21875" customWidth="1"/>
    <col min="20" max="20" width="28.77734375" customWidth="1"/>
    <col min="21" max="23" width="28.21875" customWidth="1"/>
    <col min="24" max="25" width="27.77734375" customWidth="1"/>
    <col min="26" max="26" width="18.5546875" customWidth="1"/>
    <col min="27" max="27" width="27.77734375" customWidth="1"/>
    <col min="28" max="28" width="48.44140625" customWidth="1"/>
    <col min="29" max="30" width="33" customWidth="1"/>
    <col min="31" max="31" width="28" customWidth="1"/>
    <col min="32" max="32" width="1.21875" customWidth="1"/>
    <col min="33" max="33" width="81.5546875" customWidth="1"/>
    <col min="34" max="34" width="36.77734375" customWidth="1"/>
    <col min="35" max="35" width="1.5546875" customWidth="1"/>
    <col min="36" max="36" width="20.21875" customWidth="1"/>
    <col min="37" max="37" width="25.21875" bestFit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104"/>
      <c r="C1" s="105"/>
      <c r="D1" s="105"/>
      <c r="F1" s="959" t="s">
        <v>0</v>
      </c>
      <c r="G1" s="959"/>
    </row>
    <row r="2" spans="1:38" ht="24.75" customHeight="1" x14ac:dyDescent="0.3">
      <c r="B2" s="53"/>
      <c r="D2" s="105"/>
      <c r="F2" s="960" t="s">
        <v>1</v>
      </c>
      <c r="G2" s="960"/>
    </row>
    <row r="3" spans="1:38" ht="18" x14ac:dyDescent="0.35">
      <c r="B3" s="106"/>
      <c r="F3" s="89"/>
      <c r="G3" s="89"/>
    </row>
    <row r="4" spans="1:38" ht="18" x14ac:dyDescent="0.3">
      <c r="F4" s="94" t="s">
        <v>176</v>
      </c>
      <c r="G4" s="95"/>
    </row>
    <row r="5" spans="1:38" ht="18" x14ac:dyDescent="0.3">
      <c r="F5" s="96" t="s">
        <v>177</v>
      </c>
      <c r="G5" s="97"/>
    </row>
    <row r="6" spans="1:38" ht="18" x14ac:dyDescent="0.3">
      <c r="F6" s="96" t="s">
        <v>178</v>
      </c>
      <c r="G6" s="98"/>
    </row>
    <row r="7" spans="1:38" ht="21.75" customHeight="1" x14ac:dyDescent="0.3">
      <c r="F7" s="96" t="s">
        <v>179</v>
      </c>
      <c r="G7" s="99"/>
    </row>
    <row r="8" spans="1:38" ht="18" x14ac:dyDescent="0.3">
      <c r="F8" s="96" t="s">
        <v>180</v>
      </c>
      <c r="G8" s="100"/>
    </row>
    <row r="9" spans="1:38" ht="18" x14ac:dyDescent="0.3">
      <c r="F9" s="96" t="s">
        <v>7</v>
      </c>
      <c r="G9" s="99"/>
      <c r="M9">
        <v>0.80469999999999997</v>
      </c>
    </row>
    <row r="10" spans="1:38" ht="27" customHeight="1" x14ac:dyDescent="0.3">
      <c r="F10" s="96" t="s">
        <v>181</v>
      </c>
      <c r="G10" s="99"/>
      <c r="M10">
        <f>1-M9</f>
        <v>0.19530000000000003</v>
      </c>
    </row>
    <row r="11" spans="1:38" ht="18.600000000000001" thickBot="1" x14ac:dyDescent="0.35">
      <c r="F11" s="101" t="s">
        <v>182</v>
      </c>
      <c r="G11" s="102"/>
    </row>
    <row r="12" spans="1:38" ht="16.8" thickBot="1" x14ac:dyDescent="0.35">
      <c r="B12" s="77"/>
      <c r="M12" s="84"/>
      <c r="Q12" s="961" t="s">
        <v>11</v>
      </c>
      <c r="R12" s="962"/>
      <c r="S12" s="962"/>
      <c r="T12" s="963"/>
      <c r="U12" s="947" t="s">
        <v>12</v>
      </c>
      <c r="V12" s="948"/>
      <c r="W12" s="948"/>
      <c r="X12" s="949"/>
      <c r="Y12" s="86" t="s">
        <v>13</v>
      </c>
      <c r="Z12" s="210">
        <f>(1/(1-M14))-1</f>
        <v>0.23456790123456783</v>
      </c>
      <c r="AC12" s="950" t="s">
        <v>14</v>
      </c>
      <c r="AD12" s="951"/>
      <c r="AE12" s="952"/>
      <c r="AG12" s="953" t="s">
        <v>15</v>
      </c>
      <c r="AH12" s="954"/>
      <c r="AJ12" s="52" t="s">
        <v>16</v>
      </c>
      <c r="AK12" s="935" t="s">
        <v>17</v>
      </c>
      <c r="AL12" s="936"/>
    </row>
    <row r="13" spans="1:38" ht="18.600000000000001" thickBot="1" x14ac:dyDescent="0.4">
      <c r="A13" s="87" t="s">
        <v>18</v>
      </c>
      <c r="B13" s="88" t="s">
        <v>19</v>
      </c>
      <c r="C13" s="87" t="s">
        <v>20</v>
      </c>
      <c r="D13" s="87" t="s">
        <v>21</v>
      </c>
      <c r="E13" s="87" t="s">
        <v>22</v>
      </c>
      <c r="M13" s="85">
        <v>0.81</v>
      </c>
    </row>
    <row r="14" spans="1:38" ht="33" thickBot="1" x14ac:dyDescent="0.35">
      <c r="A14" s="78">
        <v>0</v>
      </c>
      <c r="B14" s="79"/>
      <c r="C14" s="80"/>
      <c r="D14" s="103"/>
      <c r="E14" s="103"/>
      <c r="F14" s="127" t="s">
        <v>23</v>
      </c>
      <c r="G14" s="128" t="s">
        <v>24</v>
      </c>
      <c r="H14" s="129" t="s">
        <v>25</v>
      </c>
      <c r="I14" s="129" t="s">
        <v>26</v>
      </c>
      <c r="J14" s="130" t="s">
        <v>27</v>
      </c>
      <c r="K14" s="131" t="s">
        <v>28</v>
      </c>
      <c r="L14" s="132">
        <v>0.09</v>
      </c>
      <c r="M14" s="133">
        <f>1-M13</f>
        <v>0.18999999999999995</v>
      </c>
      <c r="N14" s="134" t="s">
        <v>29</v>
      </c>
      <c r="Q14" s="120" t="s">
        <v>30</v>
      </c>
      <c r="R14" s="121" t="s">
        <v>31</v>
      </c>
      <c r="S14" s="122" t="s">
        <v>32</v>
      </c>
      <c r="T14" s="123" t="s">
        <v>33</v>
      </c>
      <c r="U14" s="124" t="s">
        <v>34</v>
      </c>
      <c r="V14" s="125" t="s">
        <v>35</v>
      </c>
      <c r="W14" s="126" t="s">
        <v>36</v>
      </c>
      <c r="X14" s="126" t="s">
        <v>37</v>
      </c>
      <c r="Y14" s="208" t="s">
        <v>38</v>
      </c>
      <c r="Z14" s="119" t="s">
        <v>39</v>
      </c>
      <c r="AA14" s="81" t="s">
        <v>40</v>
      </c>
      <c r="AC14" s="82" t="s">
        <v>41</v>
      </c>
      <c r="AD14" s="83" t="s">
        <v>42</v>
      </c>
      <c r="AE14" s="83" t="s">
        <v>43</v>
      </c>
      <c r="AG14" s="90" t="s">
        <v>44</v>
      </c>
      <c r="AH14" s="91" t="s">
        <v>45</v>
      </c>
      <c r="AI14" t="s">
        <v>46</v>
      </c>
      <c r="AJ14" t="s">
        <v>46</v>
      </c>
      <c r="AK14" s="92" t="s">
        <v>47</v>
      </c>
      <c r="AL14" s="93" t="s">
        <v>48</v>
      </c>
    </row>
    <row r="15" spans="1:38" ht="18.600000000000001" thickBot="1" x14ac:dyDescent="0.4">
      <c r="A15" s="108">
        <v>1</v>
      </c>
      <c r="B15" s="112">
        <v>1</v>
      </c>
      <c r="C15" s="107" t="s">
        <v>49</v>
      </c>
      <c r="D15" s="108"/>
      <c r="E15" s="108"/>
      <c r="F15" s="937" t="s">
        <v>213</v>
      </c>
      <c r="G15" s="938"/>
      <c r="H15" s="938"/>
      <c r="I15" s="938"/>
      <c r="J15" s="938"/>
      <c r="K15" s="938"/>
      <c r="L15" s="938"/>
      <c r="M15" s="938"/>
      <c r="N15" s="939"/>
      <c r="Q15" s="940" t="str">
        <f>IF(F15&lt;&gt;"",F15,"")</f>
        <v>Opções do Hotel | 02</v>
      </c>
      <c r="R15" s="941"/>
      <c r="S15" s="941"/>
      <c r="T15" s="941"/>
      <c r="U15" s="941"/>
      <c r="V15" s="941"/>
      <c r="W15" s="941"/>
      <c r="X15" s="941"/>
      <c r="Y15" s="942"/>
    </row>
    <row r="16" spans="1:38" ht="18" x14ac:dyDescent="0.35">
      <c r="A16" s="103">
        <v>2</v>
      </c>
      <c r="B16" s="112" t="s">
        <v>51</v>
      </c>
      <c r="C16" s="111" t="s">
        <v>52</v>
      </c>
      <c r="D16" s="103"/>
      <c r="E16" s="103"/>
      <c r="F16" s="943" t="s">
        <v>214</v>
      </c>
      <c r="G16" s="944"/>
      <c r="H16" s="944"/>
      <c r="I16" s="944"/>
      <c r="J16" s="944"/>
      <c r="K16" s="945"/>
      <c r="L16" s="65" t="s">
        <v>54</v>
      </c>
      <c r="M16" s="65" t="s">
        <v>55</v>
      </c>
      <c r="N16" s="146" t="s">
        <v>29</v>
      </c>
      <c r="Q16" s="943" t="str">
        <f>IF(F16&lt;&gt;"",F16,"")</f>
        <v>Hotel WTC SHERATON</v>
      </c>
      <c r="R16" s="944"/>
      <c r="S16" s="944"/>
      <c r="T16" s="944"/>
      <c r="U16" s="944"/>
      <c r="V16" s="944"/>
      <c r="W16" s="944"/>
      <c r="X16" s="944"/>
      <c r="Y16" s="946"/>
      <c r="Z16" s="147" t="s">
        <v>56</v>
      </c>
      <c r="AA16" s="188" t="s">
        <v>40</v>
      </c>
    </row>
    <row r="17" spans="1:27" ht="32.4" x14ac:dyDescent="0.3">
      <c r="A17" s="103">
        <v>3</v>
      </c>
      <c r="B17" s="112" t="s">
        <v>57</v>
      </c>
      <c r="C17" s="111" t="s">
        <v>58</v>
      </c>
      <c r="D17" s="103" t="s">
        <v>83</v>
      </c>
      <c r="E17" s="103" t="s">
        <v>60</v>
      </c>
      <c r="F17" s="145" t="s">
        <v>215</v>
      </c>
      <c r="G17" s="59"/>
      <c r="H17" s="60"/>
      <c r="I17" s="60"/>
      <c r="J17" s="61"/>
      <c r="K17" s="61">
        <f t="shared" ref="K17:K22" si="0">IF(F17&lt;&gt;"",H17*I17*J17,"")</f>
        <v>0</v>
      </c>
      <c r="L17" s="61">
        <f t="shared" ref="L17:L22" si="1">IF(K17&lt;&gt;"",IF(D17="INTERNO",0,K17*$L$14),"")</f>
        <v>0</v>
      </c>
      <c r="M17" s="61">
        <f t="shared" ref="M17:M22" si="2">IF(K17&lt;&gt;"",IF(E17="FAT.OGGI",SUM(K17:L17)*(1/(1-$M$14)-1),L17*(1/(1-$M$14)-1)),"")</f>
        <v>0</v>
      </c>
      <c r="N17" s="66">
        <f t="shared" ref="N17:N22" si="3">SUM(K17:M17)</f>
        <v>0</v>
      </c>
      <c r="Q17" s="69" t="str">
        <f t="shared" ref="Q17:R22" si="4">IF(H17&lt;&gt;"",H17,"")</f>
        <v/>
      </c>
      <c r="R17" s="142" t="str">
        <f t="shared" si="4"/>
        <v/>
      </c>
      <c r="S17" s="62"/>
      <c r="T17" s="62" t="str">
        <f t="shared" ref="T17:T22" si="5">IF(Q17&lt;&gt;"",Q17*R17*S17,"")</f>
        <v/>
      </c>
      <c r="U17" s="63" t="str">
        <f t="shared" ref="U17:U22" si="6">IF(Q17&lt;&gt;"",K17-T17,"")</f>
        <v/>
      </c>
      <c r="V17" s="143" t="str">
        <f t="shared" ref="V17:V22" si="7">IF(Q17&lt;&gt;"",0%,"")</f>
        <v/>
      </c>
      <c r="W17" s="64" t="str">
        <f t="shared" ref="W17:W22" si="8">IF(Q17&lt;&gt;"",V17*U17,"")</f>
        <v/>
      </c>
      <c r="X17" s="64" t="str">
        <f t="shared" ref="X17:X22" si="9">IF(Q17&lt;&gt;"",W17+T17,"")</f>
        <v/>
      </c>
      <c r="Y17" s="73" t="str">
        <f t="shared" ref="Y17:Y23" si="10">IF(Q17&lt;&gt;"",X17+M17,"")</f>
        <v/>
      </c>
      <c r="Z17" s="115" t="str">
        <f t="shared" ref="Z17:Z22" si="11">IF(Q17&lt;&gt;"",U17/K17,"")</f>
        <v/>
      </c>
      <c r="AA17" s="114" t="e">
        <f t="shared" ref="AA17:AA22" si="12">T17/$T$23</f>
        <v>#VALUE!</v>
      </c>
    </row>
    <row r="18" spans="1:27" ht="32.4" x14ac:dyDescent="0.3">
      <c r="A18" s="103">
        <v>4</v>
      </c>
      <c r="B18" s="112" t="s">
        <v>62</v>
      </c>
      <c r="C18" s="111" t="s">
        <v>58</v>
      </c>
      <c r="D18" s="103" t="s">
        <v>83</v>
      </c>
      <c r="E18" s="103" t="s">
        <v>60</v>
      </c>
      <c r="F18" s="145" t="s">
        <v>216</v>
      </c>
      <c r="G18" s="59"/>
      <c r="H18" s="60"/>
      <c r="I18" s="60"/>
      <c r="J18" s="61"/>
      <c r="K18" s="61">
        <f t="shared" si="0"/>
        <v>0</v>
      </c>
      <c r="L18" s="61">
        <f t="shared" si="1"/>
        <v>0</v>
      </c>
      <c r="M18" s="61">
        <f t="shared" si="2"/>
        <v>0</v>
      </c>
      <c r="N18" s="66">
        <f t="shared" si="3"/>
        <v>0</v>
      </c>
      <c r="Q18" s="69" t="str">
        <f t="shared" si="4"/>
        <v/>
      </c>
      <c r="R18" s="142" t="str">
        <f t="shared" si="4"/>
        <v/>
      </c>
      <c r="S18" s="62"/>
      <c r="T18" s="62" t="str">
        <f t="shared" si="5"/>
        <v/>
      </c>
      <c r="U18" s="63" t="str">
        <f t="shared" si="6"/>
        <v/>
      </c>
      <c r="V18" s="143" t="str">
        <f t="shared" si="7"/>
        <v/>
      </c>
      <c r="W18" s="64" t="str">
        <f t="shared" si="8"/>
        <v/>
      </c>
      <c r="X18" s="64" t="str">
        <f t="shared" si="9"/>
        <v/>
      </c>
      <c r="Y18" s="73" t="str">
        <f t="shared" si="10"/>
        <v/>
      </c>
      <c r="Z18" s="115" t="str">
        <f t="shared" si="11"/>
        <v/>
      </c>
      <c r="AA18" s="114" t="e">
        <f t="shared" si="12"/>
        <v>#VALUE!</v>
      </c>
    </row>
    <row r="19" spans="1:27" ht="32.4" x14ac:dyDescent="0.3">
      <c r="A19" s="103">
        <v>5</v>
      </c>
      <c r="B19" s="112" t="s">
        <v>64</v>
      </c>
      <c r="C19" s="111" t="s">
        <v>58</v>
      </c>
      <c r="D19" s="103" t="s">
        <v>83</v>
      </c>
      <c r="E19" s="103" t="s">
        <v>60</v>
      </c>
      <c r="F19" s="145" t="s">
        <v>217</v>
      </c>
      <c r="G19" s="59"/>
      <c r="H19" s="60"/>
      <c r="I19" s="60"/>
      <c r="J19" s="61"/>
      <c r="K19" s="61">
        <f t="shared" si="0"/>
        <v>0</v>
      </c>
      <c r="L19" s="61">
        <f t="shared" si="1"/>
        <v>0</v>
      </c>
      <c r="M19" s="61">
        <f t="shared" si="2"/>
        <v>0</v>
      </c>
      <c r="N19" s="66">
        <f t="shared" si="3"/>
        <v>0</v>
      </c>
      <c r="Q19" s="69" t="str">
        <f t="shared" si="4"/>
        <v/>
      </c>
      <c r="R19" s="142" t="str">
        <f t="shared" si="4"/>
        <v/>
      </c>
      <c r="S19" s="62"/>
      <c r="T19" s="62" t="str">
        <f t="shared" si="5"/>
        <v/>
      </c>
      <c r="U19" s="63" t="str">
        <f t="shared" si="6"/>
        <v/>
      </c>
      <c r="V19" s="143" t="str">
        <f t="shared" si="7"/>
        <v/>
      </c>
      <c r="W19" s="64" t="str">
        <f t="shared" si="8"/>
        <v/>
      </c>
      <c r="X19" s="64" t="str">
        <f t="shared" si="9"/>
        <v/>
      </c>
      <c r="Y19" s="73" t="str">
        <f t="shared" si="10"/>
        <v/>
      </c>
      <c r="Z19" s="115" t="str">
        <f t="shared" si="11"/>
        <v/>
      </c>
      <c r="AA19" s="114" t="e">
        <f t="shared" si="12"/>
        <v>#VALUE!</v>
      </c>
    </row>
    <row r="20" spans="1:27" ht="32.4" x14ac:dyDescent="0.3">
      <c r="A20" s="103">
        <v>6</v>
      </c>
      <c r="B20" s="112" t="s">
        <v>66</v>
      </c>
      <c r="C20" s="111" t="s">
        <v>58</v>
      </c>
      <c r="D20" s="103" t="s">
        <v>83</v>
      </c>
      <c r="E20" s="103" t="s">
        <v>60</v>
      </c>
      <c r="F20" s="145" t="s">
        <v>218</v>
      </c>
      <c r="G20" s="59"/>
      <c r="H20" s="60"/>
      <c r="I20" s="60"/>
      <c r="J20" s="61"/>
      <c r="K20" s="61">
        <f t="shared" si="0"/>
        <v>0</v>
      </c>
      <c r="L20" s="61">
        <f t="shared" si="1"/>
        <v>0</v>
      </c>
      <c r="M20" s="61">
        <f t="shared" si="2"/>
        <v>0</v>
      </c>
      <c r="N20" s="66">
        <f t="shared" si="3"/>
        <v>0</v>
      </c>
      <c r="Q20" s="69" t="str">
        <f t="shared" si="4"/>
        <v/>
      </c>
      <c r="R20" s="142" t="str">
        <f t="shared" si="4"/>
        <v/>
      </c>
      <c r="S20" s="62"/>
      <c r="T20" s="62" t="str">
        <f t="shared" si="5"/>
        <v/>
      </c>
      <c r="U20" s="63" t="str">
        <f t="shared" si="6"/>
        <v/>
      </c>
      <c r="V20" s="143" t="str">
        <f t="shared" si="7"/>
        <v/>
      </c>
      <c r="W20" s="64" t="str">
        <f t="shared" si="8"/>
        <v/>
      </c>
      <c r="X20" s="64" t="str">
        <f t="shared" si="9"/>
        <v/>
      </c>
      <c r="Y20" s="73" t="str">
        <f t="shared" si="10"/>
        <v/>
      </c>
      <c r="Z20" s="115" t="str">
        <f t="shared" si="11"/>
        <v/>
      </c>
      <c r="AA20" s="114" t="e">
        <f t="shared" si="12"/>
        <v>#VALUE!</v>
      </c>
    </row>
    <row r="21" spans="1:27" ht="32.4" x14ac:dyDescent="0.3">
      <c r="A21" s="103">
        <v>7</v>
      </c>
      <c r="B21" s="112" t="s">
        <v>68</v>
      </c>
      <c r="C21" s="111" t="s">
        <v>58</v>
      </c>
      <c r="D21" s="103" t="s">
        <v>83</v>
      </c>
      <c r="E21" s="103" t="s">
        <v>60</v>
      </c>
      <c r="F21" s="145" t="s">
        <v>219</v>
      </c>
      <c r="G21" s="59"/>
      <c r="H21" s="60"/>
      <c r="I21" s="60"/>
      <c r="J21" s="61"/>
      <c r="K21" s="61">
        <f t="shared" si="0"/>
        <v>0</v>
      </c>
      <c r="L21" s="61">
        <f t="shared" si="1"/>
        <v>0</v>
      </c>
      <c r="M21" s="61">
        <f t="shared" si="2"/>
        <v>0</v>
      </c>
      <c r="N21" s="66">
        <f t="shared" si="3"/>
        <v>0</v>
      </c>
      <c r="Q21" s="69" t="str">
        <f t="shared" si="4"/>
        <v/>
      </c>
      <c r="R21" s="142" t="str">
        <f t="shared" si="4"/>
        <v/>
      </c>
      <c r="S21" s="62"/>
      <c r="T21" s="62" t="str">
        <f t="shared" si="5"/>
        <v/>
      </c>
      <c r="U21" s="63" t="str">
        <f t="shared" si="6"/>
        <v/>
      </c>
      <c r="V21" s="143" t="str">
        <f t="shared" si="7"/>
        <v/>
      </c>
      <c r="W21" s="64" t="str">
        <f t="shared" si="8"/>
        <v/>
      </c>
      <c r="X21" s="64" t="str">
        <f t="shared" si="9"/>
        <v/>
      </c>
      <c r="Y21" s="73" t="str">
        <f t="shared" si="10"/>
        <v/>
      </c>
      <c r="Z21" s="115" t="str">
        <f t="shared" si="11"/>
        <v/>
      </c>
      <c r="AA21" s="114" t="e">
        <f t="shared" si="12"/>
        <v>#VALUE!</v>
      </c>
    </row>
    <row r="22" spans="1:27" ht="32.4" x14ac:dyDescent="0.3">
      <c r="A22" s="103">
        <v>8</v>
      </c>
      <c r="B22" s="112" t="s">
        <v>70</v>
      </c>
      <c r="C22" s="111" t="s">
        <v>58</v>
      </c>
      <c r="D22" s="103" t="s">
        <v>83</v>
      </c>
      <c r="E22" s="103" t="s">
        <v>60</v>
      </c>
      <c r="F22" s="145" t="s">
        <v>219</v>
      </c>
      <c r="G22" s="113"/>
      <c r="H22" s="54"/>
      <c r="I22" s="54"/>
      <c r="J22" s="55"/>
      <c r="K22" s="55">
        <f t="shared" si="0"/>
        <v>0</v>
      </c>
      <c r="L22" s="55">
        <f t="shared" si="1"/>
        <v>0</v>
      </c>
      <c r="M22" s="55">
        <f t="shared" si="2"/>
        <v>0</v>
      </c>
      <c r="N22" s="74">
        <f t="shared" si="3"/>
        <v>0</v>
      </c>
      <c r="Q22" s="75" t="str">
        <f t="shared" si="4"/>
        <v/>
      </c>
      <c r="R22" s="140" t="str">
        <f t="shared" si="4"/>
        <v/>
      </c>
      <c r="S22" s="56"/>
      <c r="T22" s="56" t="str">
        <f t="shared" si="5"/>
        <v/>
      </c>
      <c r="U22" s="58" t="str">
        <f t="shared" si="6"/>
        <v/>
      </c>
      <c r="V22" s="141" t="str">
        <f t="shared" si="7"/>
        <v/>
      </c>
      <c r="W22" s="57" t="str">
        <f t="shared" si="8"/>
        <v/>
      </c>
      <c r="X22" s="57" t="str">
        <f t="shared" si="9"/>
        <v/>
      </c>
      <c r="Y22" s="76" t="str">
        <f t="shared" si="10"/>
        <v/>
      </c>
      <c r="Z22" s="115" t="str">
        <f t="shared" si="11"/>
        <v/>
      </c>
      <c r="AA22" s="114" t="e">
        <f t="shared" si="12"/>
        <v>#VALUE!</v>
      </c>
    </row>
    <row r="23" spans="1:27" ht="33" thickBot="1" x14ac:dyDescent="0.4">
      <c r="A23" s="109">
        <v>9</v>
      </c>
      <c r="B23" s="109"/>
      <c r="C23" s="109" t="s">
        <v>75</v>
      </c>
      <c r="D23" s="109"/>
      <c r="E23" s="109"/>
      <c r="F23" s="955" t="s">
        <v>220</v>
      </c>
      <c r="G23" s="956"/>
      <c r="H23" s="956"/>
      <c r="I23" s="956"/>
      <c r="J23" s="956"/>
      <c r="K23" s="68">
        <f>SUM(K17:K22)</f>
        <v>0</v>
      </c>
      <c r="L23" s="68">
        <f>SUM(L17:L22)</f>
        <v>0</v>
      </c>
      <c r="M23" s="68">
        <f>SUM(M17:M22)</f>
        <v>0</v>
      </c>
      <c r="N23" s="189">
        <f>SUM(N17:N22)</f>
        <v>0</v>
      </c>
      <c r="Q23" s="957" t="s">
        <v>196</v>
      </c>
      <c r="R23" s="958"/>
      <c r="S23" s="958"/>
      <c r="T23" s="67">
        <f>SUM(T17:T22)</f>
        <v>0</v>
      </c>
      <c r="U23" s="70">
        <f>SUM(U17:U22)</f>
        <v>0</v>
      </c>
      <c r="V23" s="71"/>
      <c r="W23" s="71"/>
      <c r="X23" s="72">
        <f>SUM(X17:X22)</f>
        <v>0</v>
      </c>
      <c r="Y23" s="211">
        <f t="shared" si="10"/>
        <v>0</v>
      </c>
    </row>
  </sheetData>
  <mergeCells count="13">
    <mergeCell ref="F23:J23"/>
    <mergeCell ref="Q23:S23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2">
    <dataValidation type="list" allowBlank="1" showInputMessage="1" showErrorMessage="1" sqref="E17:E22" xr:uid="{96CBDC8C-AD01-4A47-8858-8C382FC535F3}">
      <formula1>"FAT.OGGI,FAT.CLIENTE"</formula1>
    </dataValidation>
    <dataValidation type="list" allowBlank="1" showInputMessage="1" showErrorMessage="1" sqref="D17:D22" xr:uid="{4DC2049D-6D19-457A-9301-6ED48516DB30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9698" r:id="rId4" name="Label2">
          <controlPr defaultSize="0" autoLine="0" r:id="rId5">
            <anchor>
              <from>
                <xdr:col>21</xdr:col>
                <xdr:colOff>1234440</xdr:colOff>
                <xdr:row>0</xdr:row>
                <xdr:rowOff>213360</xdr:rowOff>
              </from>
              <to>
                <xdr:col>22</xdr:col>
                <xdr:colOff>236220</xdr:colOff>
                <xdr:row>1</xdr:row>
                <xdr:rowOff>114300</xdr:rowOff>
              </to>
            </anchor>
          </controlPr>
        </control>
      </mc:Choice>
      <mc:Fallback>
        <control shapeId="29698" r:id="rId4" name="Label2"/>
      </mc:Fallback>
    </mc:AlternateContent>
    <mc:AlternateContent xmlns:mc="http://schemas.openxmlformats.org/markup-compatibility/2006">
      <mc:Choice Requires="x14">
        <control shapeId="29697" r:id="rId6" name="Label1">
          <controlPr defaultSize="0" autoLine="0" r:id="rId7">
            <anchor>
              <from>
                <xdr:col>1</xdr:col>
                <xdr:colOff>259080</xdr:colOff>
                <xdr:row>0</xdr:row>
                <xdr:rowOff>144780</xdr:rowOff>
              </from>
              <to>
                <xdr:col>2</xdr:col>
                <xdr:colOff>640080</xdr:colOff>
                <xdr:row>1</xdr:row>
                <xdr:rowOff>60960</xdr:rowOff>
              </to>
            </anchor>
          </controlPr>
        </control>
      </mc:Choice>
      <mc:Fallback>
        <control shapeId="29697" r:id="rId6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6565-41EA-4711-9F5F-C2194ED97F76}">
  <sheetPr codeName="Planilha47">
    <tabColor theme="0"/>
    <pageSetUpPr autoPageBreaks="0"/>
  </sheetPr>
  <dimension ref="A1:AM32"/>
  <sheetViews>
    <sheetView showGridLines="0" topLeftCell="F1" zoomScale="70" zoomScaleNormal="70" workbookViewId="0">
      <pane ySplit="1" topLeftCell="A22" activePane="bottomLeft" state="frozen"/>
      <selection activeCell="H11" sqref="H11:I11"/>
      <selection pane="bottomLeft" activeCell="K23" sqref="K23"/>
    </sheetView>
  </sheetViews>
  <sheetFormatPr defaultColWidth="8.77734375" defaultRowHeight="21" x14ac:dyDescent="0.4"/>
  <cols>
    <col min="1" max="1" width="4.77734375" style="243" hidden="1" customWidth="1"/>
    <col min="2" max="2" width="8.21875" style="243" customWidth="1"/>
    <col min="3" max="4" width="4.77734375" style="243" hidden="1" customWidth="1"/>
    <col min="5" max="5" width="7.44140625" style="243" hidden="1" customWidth="1"/>
    <col min="6" max="6" width="32.77734375" style="243" customWidth="1"/>
    <col min="7" max="7" width="61.77734375" style="243" customWidth="1"/>
    <col min="8" max="9" width="7.5546875" style="246" customWidth="1"/>
    <col min="10" max="10" width="20" style="243" bestFit="1" customWidth="1"/>
    <col min="11" max="11" width="29.77734375" style="243" bestFit="1" customWidth="1"/>
    <col min="12" max="13" width="26.44140625" style="243" bestFit="1" customWidth="1"/>
    <col min="14" max="14" width="29.77734375" style="243" bestFit="1" customWidth="1"/>
    <col min="15" max="16" width="2.77734375" style="243" hidden="1" customWidth="1"/>
    <col min="17" max="17" width="8" style="246" customWidth="1"/>
    <col min="18" max="18" width="8" style="246" hidden="1" customWidth="1"/>
    <col min="19" max="19" width="18.44140625" style="243" hidden="1" customWidth="1"/>
    <col min="20" max="20" width="29.77734375" style="243" bestFit="1" customWidth="1"/>
    <col min="21" max="21" width="29.77734375" style="243" hidden="1" customWidth="1"/>
    <col min="22" max="23" width="19.5546875" style="243" hidden="1" customWidth="1"/>
    <col min="24" max="24" width="29.77734375" style="243" bestFit="1" customWidth="1"/>
    <col min="25" max="25" width="29.77734375" style="243" hidden="1" customWidth="1"/>
    <col min="26" max="26" width="16" style="243" hidden="1" customWidth="1"/>
    <col min="27" max="27" width="25.77734375" style="243" hidden="1" customWidth="1"/>
    <col min="28" max="28" width="28" style="243" customWidth="1"/>
    <col min="29" max="29" width="32.21875" style="243" customWidth="1"/>
    <col min="30" max="31" width="33" style="243" hidden="1" customWidth="1"/>
    <col min="32" max="32" width="28" style="243" hidden="1" customWidth="1"/>
    <col min="33" max="33" width="1.21875" style="243" hidden="1" customWidth="1"/>
    <col min="34" max="34" width="81.5546875" style="243" hidden="1" customWidth="1"/>
    <col min="35" max="35" width="36.77734375" style="243" hidden="1" customWidth="1"/>
    <col min="36" max="36" width="1.5546875" style="243" hidden="1" customWidth="1"/>
    <col min="37" max="37" width="20.21875" style="243" hidden="1" customWidth="1"/>
    <col min="38" max="38" width="25.21875" style="243" hidden="1" customWidth="1"/>
    <col min="39" max="39" width="24.77734375" style="243" hidden="1" customWidth="1"/>
    <col min="40" max="40" width="8.77734375" style="243"/>
    <col min="41" max="41" width="21.21875" style="243" customWidth="1"/>
    <col min="42" max="16384" width="8.77734375" style="243"/>
  </cols>
  <sheetData>
    <row r="1" spans="1:37" ht="49.5" customHeight="1" x14ac:dyDescent="0.4">
      <c r="B1" s="244"/>
      <c r="C1" s="245"/>
      <c r="D1" s="245"/>
      <c r="F1" s="667" t="s">
        <v>0</v>
      </c>
      <c r="G1" s="667"/>
    </row>
    <row r="2" spans="1:37" ht="24.75" customHeight="1" x14ac:dyDescent="0.4">
      <c r="B2" s="246"/>
      <c r="D2" s="245"/>
      <c r="F2" s="668" t="s">
        <v>1</v>
      </c>
      <c r="G2" s="668"/>
    </row>
    <row r="3" spans="1:37" ht="22.8" thickBot="1" x14ac:dyDescent="0.45">
      <c r="B3" s="247"/>
      <c r="F3" s="248"/>
      <c r="G3" s="248"/>
    </row>
    <row r="4" spans="1:37" ht="22.2" x14ac:dyDescent="0.4">
      <c r="F4" s="249" t="s">
        <v>2</v>
      </c>
      <c r="G4" s="250"/>
    </row>
    <row r="5" spans="1:37" ht="22.2" x14ac:dyDescent="0.4">
      <c r="F5" s="251" t="s">
        <v>3</v>
      </c>
      <c r="G5" s="252"/>
    </row>
    <row r="6" spans="1:37" ht="22.2" x14ac:dyDescent="0.4">
      <c r="F6" s="251" t="s">
        <v>4</v>
      </c>
      <c r="G6" s="253"/>
    </row>
    <row r="7" spans="1:37" ht="21.75" customHeight="1" x14ac:dyDescent="0.4">
      <c r="F7" s="251" t="s">
        <v>227</v>
      </c>
      <c r="G7" s="253"/>
    </row>
    <row r="8" spans="1:37" ht="22.2" x14ac:dyDescent="0.4">
      <c r="F8" s="251" t="s">
        <v>470</v>
      </c>
      <c r="G8" s="254"/>
    </row>
    <row r="9" spans="1:37" ht="22.2" x14ac:dyDescent="0.4">
      <c r="F9" s="251" t="s">
        <v>7</v>
      </c>
      <c r="G9" s="253"/>
      <c r="M9" s="243">
        <v>0.80469999999999997</v>
      </c>
    </row>
    <row r="10" spans="1:37" ht="22.2" x14ac:dyDescent="0.4">
      <c r="F10" s="251" t="s">
        <v>8</v>
      </c>
      <c r="G10" s="253"/>
      <c r="M10" s="243">
        <f>1-M9</f>
        <v>0.19530000000000003</v>
      </c>
    </row>
    <row r="11" spans="1:37" ht="22.8" thickBot="1" x14ac:dyDescent="0.45">
      <c r="F11" s="255" t="s">
        <v>9</v>
      </c>
      <c r="G11" s="256"/>
      <c r="H11" s="669" t="s">
        <v>157</v>
      </c>
      <c r="I11" s="670"/>
      <c r="J11" s="671"/>
      <c r="K11" s="671"/>
    </row>
    <row r="12" spans="1:37" ht="22.8" thickBot="1" x14ac:dyDescent="0.45">
      <c r="B12" s="260"/>
      <c r="G12" s="261"/>
      <c r="M12" s="262"/>
      <c r="Q12" s="920" t="s">
        <v>11</v>
      </c>
      <c r="R12" s="921"/>
      <c r="S12" s="921"/>
      <c r="T12" s="922"/>
      <c r="U12" s="923" t="s">
        <v>12</v>
      </c>
      <c r="V12" s="924"/>
      <c r="W12" s="924"/>
      <c r="X12" s="925"/>
      <c r="Y12" s="263" t="s">
        <v>13</v>
      </c>
      <c r="Z12" s="264">
        <f>(1/(1-M14))-1</f>
        <v>0.24269914253759173</v>
      </c>
      <c r="AD12" s="913" t="s">
        <v>14</v>
      </c>
      <c r="AE12" s="914"/>
      <c r="AF12" s="915"/>
      <c r="AH12" s="916" t="s">
        <v>15</v>
      </c>
      <c r="AI12" s="917"/>
      <c r="AK12" s="265" t="s">
        <v>16</v>
      </c>
    </row>
    <row r="13" spans="1:37" ht="22.8" thickBot="1" x14ac:dyDescent="0.5">
      <c r="A13" s="266" t="s">
        <v>18</v>
      </c>
      <c r="B13" s="267" t="s">
        <v>19</v>
      </c>
      <c r="C13" s="266" t="s">
        <v>20</v>
      </c>
      <c r="D13" s="266" t="s">
        <v>21</v>
      </c>
      <c r="E13" s="266" t="s">
        <v>22</v>
      </c>
      <c r="M13" s="268">
        <v>0.80469999999999997</v>
      </c>
    </row>
    <row r="14" spans="1:37" ht="45" thickBot="1" x14ac:dyDescent="0.45">
      <c r="A14" s="269">
        <v>0</v>
      </c>
      <c r="B14" s="270"/>
      <c r="C14" s="271"/>
      <c r="D14" s="272"/>
      <c r="E14" s="272"/>
      <c r="F14" s="708" t="s">
        <v>23</v>
      </c>
      <c r="G14" s="709" t="s">
        <v>24</v>
      </c>
      <c r="H14" s="710" t="s">
        <v>25</v>
      </c>
      <c r="I14" s="710" t="s">
        <v>26</v>
      </c>
      <c r="J14" s="711" t="s">
        <v>27</v>
      </c>
      <c r="K14" s="712" t="s">
        <v>28</v>
      </c>
      <c r="L14" s="713">
        <v>0.05</v>
      </c>
      <c r="M14" s="714">
        <f>1-M13</f>
        <v>0.19530000000000003</v>
      </c>
      <c r="N14" s="715" t="s">
        <v>29</v>
      </c>
      <c r="Q14" s="716" t="s">
        <v>30</v>
      </c>
      <c r="R14" s="717" t="s">
        <v>31</v>
      </c>
      <c r="S14" s="718" t="s">
        <v>32</v>
      </c>
      <c r="T14" s="719" t="s">
        <v>33</v>
      </c>
      <c r="U14" s="720" t="s">
        <v>34</v>
      </c>
      <c r="V14" s="721" t="s">
        <v>35</v>
      </c>
      <c r="W14" s="722" t="s">
        <v>36</v>
      </c>
      <c r="X14" s="722" t="s">
        <v>37</v>
      </c>
      <c r="Y14" s="723" t="s">
        <v>38</v>
      </c>
      <c r="Z14" s="289" t="s">
        <v>39</v>
      </c>
      <c r="AA14" s="658" t="s">
        <v>40</v>
      </c>
      <c r="AB14" s="837" t="s">
        <v>17</v>
      </c>
      <c r="AC14" s="837"/>
      <c r="AD14" s="664" t="s">
        <v>41</v>
      </c>
      <c r="AE14" s="290" t="s">
        <v>42</v>
      </c>
      <c r="AF14" s="290" t="s">
        <v>43</v>
      </c>
      <c r="AH14" s="291" t="s">
        <v>44</v>
      </c>
      <c r="AI14" s="292" t="s">
        <v>45</v>
      </c>
      <c r="AJ14" s="243" t="s">
        <v>46</v>
      </c>
      <c r="AK14" s="243" t="s">
        <v>46</v>
      </c>
    </row>
    <row r="15" spans="1:37" s="672" customFormat="1" ht="31.5" customHeight="1" thickBot="1" x14ac:dyDescent="0.5">
      <c r="A15" s="315">
        <v>1</v>
      </c>
      <c r="B15" s="316">
        <v>1</v>
      </c>
      <c r="C15" s="317" t="s">
        <v>49</v>
      </c>
      <c r="D15" s="315"/>
      <c r="E15" s="315"/>
      <c r="F15" s="964" t="s">
        <v>158</v>
      </c>
      <c r="G15" s="965"/>
      <c r="H15" s="965"/>
      <c r="I15" s="965"/>
      <c r="J15" s="965"/>
      <c r="K15" s="965"/>
      <c r="L15" s="965"/>
      <c r="M15" s="965"/>
      <c r="N15" s="966"/>
      <c r="Q15" s="967" t="str">
        <f>IF(F15&lt;&gt;"",F15,"")</f>
        <v>HOTEL</v>
      </c>
      <c r="R15" s="968"/>
      <c r="S15" s="968"/>
      <c r="T15" s="968"/>
      <c r="U15" s="968"/>
      <c r="V15" s="968"/>
      <c r="W15" s="968"/>
      <c r="X15" s="968"/>
      <c r="Y15" s="969"/>
      <c r="AB15" s="533"/>
      <c r="AC15" s="533"/>
    </row>
    <row r="16" spans="1:37" s="672" customFormat="1" ht="31.5" customHeight="1" thickBot="1" x14ac:dyDescent="0.35">
      <c r="A16" s="272">
        <v>2</v>
      </c>
      <c r="B16" s="316" t="s">
        <v>51</v>
      </c>
      <c r="C16" s="318" t="s">
        <v>52</v>
      </c>
      <c r="D16" s="272"/>
      <c r="E16" s="272"/>
      <c r="F16" s="673" t="s">
        <v>159</v>
      </c>
      <c r="G16" s="674"/>
      <c r="H16" s="675"/>
      <c r="I16" s="675"/>
      <c r="J16" s="674"/>
      <c r="K16" s="674"/>
      <c r="L16" s="676" t="s">
        <v>54</v>
      </c>
      <c r="M16" s="676" t="s">
        <v>55</v>
      </c>
      <c r="N16" s="677" t="s">
        <v>29</v>
      </c>
      <c r="Q16" s="970" t="str">
        <f>IF(F16&lt;&gt;"",F16,"")</f>
        <v>Hotel Novotel Itu Golf &amp; Resort</v>
      </c>
      <c r="R16" s="971"/>
      <c r="S16" s="971"/>
      <c r="T16" s="971"/>
      <c r="U16" s="971"/>
      <c r="V16" s="971"/>
      <c r="W16" s="971"/>
      <c r="X16" s="971"/>
      <c r="Y16" s="972"/>
      <c r="Z16" s="319" t="s">
        <v>56</v>
      </c>
      <c r="AA16" s="750" t="s">
        <v>40</v>
      </c>
      <c r="AB16" s="534" t="s">
        <v>47</v>
      </c>
      <c r="AC16" s="535" t="s">
        <v>48</v>
      </c>
    </row>
    <row r="17" spans="1:29" ht="155.4" x14ac:dyDescent="0.45">
      <c r="A17" s="272">
        <v>3</v>
      </c>
      <c r="B17" s="316" t="s">
        <v>57</v>
      </c>
      <c r="C17" s="318" t="s">
        <v>58</v>
      </c>
      <c r="D17" s="272" t="s">
        <v>83</v>
      </c>
      <c r="E17" s="272" t="s">
        <v>160</v>
      </c>
      <c r="F17" s="724" t="s">
        <v>161</v>
      </c>
      <c r="G17" s="725" t="s">
        <v>228</v>
      </c>
      <c r="H17" s="726">
        <v>11</v>
      </c>
      <c r="I17" s="726">
        <v>1</v>
      </c>
      <c r="J17" s="727">
        <v>856.8</v>
      </c>
      <c r="K17" s="728">
        <f>IF(F17&lt;&gt;"",H17*I17*J17,"")</f>
        <v>9424.7999999999993</v>
      </c>
      <c r="L17" s="728">
        <f t="shared" ref="L17:L23" si="0">IF(K17&lt;&gt;"",IF(D17="INTERNO",0,K17*$L$14),"")</f>
        <v>471.24</v>
      </c>
      <c r="M17" s="728">
        <f>IF(K17&lt;&gt;"",IF(E17="FAT.OGGI",SUM(K17:L17)*(1/(1-$M$14)-1),L17*(1/(1-$M$14)-1)),"")</f>
        <v>114.36954392941473</v>
      </c>
      <c r="N17" s="729">
        <f>SUM(K17:M17)</f>
        <v>10010.409543929414</v>
      </c>
      <c r="Q17" s="632">
        <v>11</v>
      </c>
      <c r="R17" s="730">
        <v>1</v>
      </c>
      <c r="S17" s="330">
        <v>856.8</v>
      </c>
      <c r="T17" s="330">
        <f>IF(Q17&lt;&gt;"",Q17*R17*S17,"")</f>
        <v>9424.7999999999993</v>
      </c>
      <c r="U17" s="332">
        <f t="shared" ref="U17:U23" si="1">IF(Q17&lt;&gt;"",K17-T17,"")</f>
        <v>0</v>
      </c>
      <c r="V17" s="333">
        <f t="shared" ref="V17:V23" si="2">IF(Q17&lt;&gt;"",0%,"")</f>
        <v>0</v>
      </c>
      <c r="W17" s="334">
        <f t="shared" ref="W17:W21" si="3">IF(Q17&lt;&gt;"",V17*U17,"")</f>
        <v>0</v>
      </c>
      <c r="X17" s="334">
        <f t="shared" ref="X17:X23" si="4">IF(Q17&lt;&gt;"",W17+T17,"")</f>
        <v>9424.7999999999993</v>
      </c>
      <c r="Y17" s="335">
        <f>IF(Q17&lt;&gt;"",X17+M17,"")</f>
        <v>9539.1695439294144</v>
      </c>
      <c r="Z17" s="324">
        <f t="shared" ref="Z17:Z23" si="5">IF(Q17&lt;&gt;"",U17/K17,"")</f>
        <v>0</v>
      </c>
      <c r="AA17" s="661">
        <f t="shared" ref="AA17:AA23" si="6">T17/$T$24</f>
        <v>0.44335684468115732</v>
      </c>
      <c r="AB17" s="707">
        <f>X17-AC17</f>
        <v>9424.7999999999993</v>
      </c>
      <c r="AC17" s="627"/>
    </row>
    <row r="18" spans="1:29" ht="155.4" x14ac:dyDescent="0.45">
      <c r="A18" s="272">
        <v>4</v>
      </c>
      <c r="B18" s="316" t="s">
        <v>62</v>
      </c>
      <c r="C18" s="318" t="s">
        <v>58</v>
      </c>
      <c r="D18" s="272" t="s">
        <v>83</v>
      </c>
      <c r="E18" s="272" t="s">
        <v>160</v>
      </c>
      <c r="F18" s="731"/>
      <c r="G18" s="678"/>
      <c r="H18" s="732"/>
      <c r="I18" s="732"/>
      <c r="J18" s="341"/>
      <c r="K18" s="733"/>
      <c r="L18" s="733"/>
      <c r="M18" s="733"/>
      <c r="N18" s="734"/>
      <c r="Q18" s="632">
        <v>1</v>
      </c>
      <c r="R18" s="730">
        <v>1</v>
      </c>
      <c r="S18" s="735">
        <f>-SUM(T17)*10%</f>
        <v>-942.48</v>
      </c>
      <c r="T18" s="735">
        <f>IF(Q18&lt;&gt;"",Q18*R18*S18,"")</f>
        <v>-942.48</v>
      </c>
      <c r="U18" s="332">
        <f t="shared" ref="U18" si="7">IF(Q18&lt;&gt;"",K18-T18,"")</f>
        <v>942.48</v>
      </c>
      <c r="V18" s="333">
        <f t="shared" ref="V18" si="8">IF(Q18&lt;&gt;"",0%,"")</f>
        <v>0</v>
      </c>
      <c r="W18" s="334">
        <f t="shared" ref="W18" si="9">IF(Q18&lt;&gt;"",V18*U18,"")</f>
        <v>0</v>
      </c>
      <c r="X18" s="334">
        <f t="shared" ref="X18" si="10">IF(Q18&lt;&gt;"",W18+T18,"")</f>
        <v>-942.48</v>
      </c>
      <c r="Y18" s="335">
        <f>IF(Q18&lt;&gt;"",X18+M18,"")</f>
        <v>-942.48</v>
      </c>
      <c r="Z18" s="324" t="e">
        <f t="shared" ref="Z18" si="11">IF(Q18&lt;&gt;"",U18/K18,"")</f>
        <v>#DIV/0!</v>
      </c>
      <c r="AA18" s="661">
        <f t="shared" si="6"/>
        <v>-4.4335684468115734E-2</v>
      </c>
      <c r="AB18" s="707">
        <f t="shared" ref="AB18:AB23" si="12">X18-AC18</f>
        <v>-942.48</v>
      </c>
      <c r="AC18" s="627"/>
    </row>
    <row r="19" spans="1:29" ht="155.4" x14ac:dyDescent="0.45">
      <c r="A19" s="320">
        <v>5</v>
      </c>
      <c r="B19" s="316" t="s">
        <v>64</v>
      </c>
      <c r="C19" s="321" t="s">
        <v>58</v>
      </c>
      <c r="D19" s="320" t="s">
        <v>83</v>
      </c>
      <c r="E19" s="320" t="s">
        <v>160</v>
      </c>
      <c r="F19" s="322" t="s">
        <v>162</v>
      </c>
      <c r="G19" s="679" t="s">
        <v>229</v>
      </c>
      <c r="H19" s="299">
        <v>11</v>
      </c>
      <c r="I19" s="299">
        <v>2</v>
      </c>
      <c r="J19" s="300">
        <v>194</v>
      </c>
      <c r="K19" s="300">
        <f>IF(F19&lt;&gt;"",H19*I19*J19,"")</f>
        <v>4268</v>
      </c>
      <c r="L19" s="300">
        <f>IF(K19&lt;&gt;"",IF(D19="INTERNO",0,K19*$L$14),"")</f>
        <v>213.4</v>
      </c>
      <c r="M19" s="300">
        <f>IF(K19&lt;&gt;"",IF(E19="FAT.OGGI",SUM(K19:L19)*(1/(1-$M$14)-1),L19*(1/(1-$M$14)-1)),"")</f>
        <v>51.791997017522078</v>
      </c>
      <c r="N19" s="301">
        <f>SUM(K19:M19)</f>
        <v>4533.1919970175213</v>
      </c>
      <c r="Q19" s="736">
        <v>11</v>
      </c>
      <c r="R19" s="633">
        <v>2</v>
      </c>
      <c r="S19" s="336">
        <v>194</v>
      </c>
      <c r="T19" s="336">
        <f>IF(Q19&lt;&gt;"",Q19*R19*S19,"")</f>
        <v>4268</v>
      </c>
      <c r="U19" s="337">
        <f>IF(Q19&lt;&gt;"",K19-T19,"")</f>
        <v>0</v>
      </c>
      <c r="V19" s="338">
        <f>IF(Q19&lt;&gt;"",0%,"")</f>
        <v>0</v>
      </c>
      <c r="W19" s="339">
        <f>IF(Q19&lt;&gt;"",V19*U19,"")</f>
        <v>0</v>
      </c>
      <c r="X19" s="339">
        <f>IF(Q19&lt;&gt;"",W19+T19,"")</f>
        <v>4268</v>
      </c>
      <c r="Y19" s="308">
        <f>IF(Q19&lt;&gt;"",X19+M19,"")</f>
        <v>4319.7919970175217</v>
      </c>
      <c r="Z19" s="324">
        <f>IF(Q19&lt;&gt;"",U19/K19,"")</f>
        <v>0</v>
      </c>
      <c r="AA19" s="661">
        <f t="shared" si="6"/>
        <v>0.20077317429538871</v>
      </c>
      <c r="AB19" s="707">
        <f t="shared" si="12"/>
        <v>4268</v>
      </c>
      <c r="AC19" s="627"/>
    </row>
    <row r="20" spans="1:29" ht="155.4" x14ac:dyDescent="0.45">
      <c r="A20" s="315">
        <v>6</v>
      </c>
      <c r="B20" s="316" t="s">
        <v>66</v>
      </c>
      <c r="C20" s="317" t="s">
        <v>58</v>
      </c>
      <c r="D20" s="315" t="s">
        <v>83</v>
      </c>
      <c r="E20" s="315" t="s">
        <v>160</v>
      </c>
      <c r="F20" s="322" t="s">
        <v>164</v>
      </c>
      <c r="G20" s="298" t="s">
        <v>471</v>
      </c>
      <c r="H20" s="299">
        <v>1</v>
      </c>
      <c r="I20" s="299">
        <v>1</v>
      </c>
      <c r="J20" s="300">
        <v>1224</v>
      </c>
      <c r="K20" s="340">
        <f t="shared" ref="K20:K23" si="13">IF(F20&lt;&gt;"",H20*I20*J20,"")</f>
        <v>1224</v>
      </c>
      <c r="L20" s="340">
        <f t="shared" si="0"/>
        <v>61.2</v>
      </c>
      <c r="M20" s="340">
        <f t="shared" ref="M20:M23" si="14">IF(K20&lt;&gt;"",IF(E20="FAT.OGGI",SUM(K20:L20)*(1/(1-$M$14)-1),L20*(1/(1-$M$14)-1)),"")</f>
        <v>14.853187523300614</v>
      </c>
      <c r="N20" s="737">
        <f t="shared" ref="N20:N23" si="15">SUM(K20:M20)</f>
        <v>1300.0531875233007</v>
      </c>
      <c r="Q20" s="637">
        <v>1</v>
      </c>
      <c r="R20" s="738">
        <v>1</v>
      </c>
      <c r="S20" s="343">
        <v>1224</v>
      </c>
      <c r="T20" s="343">
        <f t="shared" ref="T20:T23" si="16">IF(Q20&lt;&gt;"",Q20*R20*S20,"")</f>
        <v>1224</v>
      </c>
      <c r="U20" s="344">
        <f t="shared" si="1"/>
        <v>0</v>
      </c>
      <c r="V20" s="345">
        <f t="shared" si="2"/>
        <v>0</v>
      </c>
      <c r="W20" s="346">
        <f t="shared" si="3"/>
        <v>0</v>
      </c>
      <c r="X20" s="346">
        <f t="shared" si="4"/>
        <v>1224</v>
      </c>
      <c r="Y20" s="739">
        <f t="shared" ref="Y20" si="17">IF(Q20&lt;&gt;"",X20+M20,"")</f>
        <v>1238.8531875233007</v>
      </c>
      <c r="Z20" s="327">
        <f t="shared" si="5"/>
        <v>0</v>
      </c>
      <c r="AA20" s="751">
        <f t="shared" si="6"/>
        <v>5.7578810997552902E-2</v>
      </c>
      <c r="AB20" s="707">
        <f t="shared" si="12"/>
        <v>1224</v>
      </c>
      <c r="AC20" s="627"/>
    </row>
    <row r="21" spans="1:29" ht="155.4" x14ac:dyDescent="0.45">
      <c r="A21" s="320">
        <v>7</v>
      </c>
      <c r="B21" s="316" t="s">
        <v>68</v>
      </c>
      <c r="C21" s="321" t="s">
        <v>58</v>
      </c>
      <c r="D21" s="320" t="s">
        <v>83</v>
      </c>
      <c r="E21" s="320" t="s">
        <v>160</v>
      </c>
      <c r="F21" s="322" t="s">
        <v>165</v>
      </c>
      <c r="G21" s="298" t="s">
        <v>230</v>
      </c>
      <c r="H21" s="299">
        <v>11</v>
      </c>
      <c r="I21" s="299">
        <v>2</v>
      </c>
      <c r="J21" s="300">
        <v>55</v>
      </c>
      <c r="K21" s="300">
        <f t="shared" si="13"/>
        <v>1210</v>
      </c>
      <c r="L21" s="300">
        <f t="shared" si="0"/>
        <v>60.5</v>
      </c>
      <c r="M21" s="300">
        <f t="shared" si="14"/>
        <v>14.683298123524299</v>
      </c>
      <c r="N21" s="301">
        <f t="shared" si="15"/>
        <v>1285.1832981235243</v>
      </c>
      <c r="Q21" s="302">
        <v>11</v>
      </c>
      <c r="R21" s="303">
        <v>2</v>
      </c>
      <c r="S21" s="343">
        <v>55</v>
      </c>
      <c r="T21" s="304">
        <f t="shared" si="16"/>
        <v>1210</v>
      </c>
      <c r="U21" s="305">
        <f t="shared" si="1"/>
        <v>0</v>
      </c>
      <c r="V21" s="306">
        <f t="shared" si="2"/>
        <v>0</v>
      </c>
      <c r="W21" s="307">
        <f t="shared" si="3"/>
        <v>0</v>
      </c>
      <c r="X21" s="307">
        <f t="shared" si="4"/>
        <v>1210</v>
      </c>
      <c r="Y21" s="308">
        <f t="shared" ref="Y21:Y24" si="18">IF(Q21&lt;&gt;"",X21+M21,"")</f>
        <v>1224.6832981235243</v>
      </c>
      <c r="Z21" s="324">
        <f t="shared" si="5"/>
        <v>0</v>
      </c>
      <c r="AA21" s="751">
        <f t="shared" si="6"/>
        <v>5.6920229826012261E-2</v>
      </c>
      <c r="AB21" s="707">
        <f t="shared" si="12"/>
        <v>1210</v>
      </c>
      <c r="AC21" s="627"/>
    </row>
    <row r="22" spans="1:29" ht="177.6" x14ac:dyDescent="0.45">
      <c r="A22" s="315">
        <v>8</v>
      </c>
      <c r="B22" s="316" t="s">
        <v>70</v>
      </c>
      <c r="C22" s="317" t="s">
        <v>58</v>
      </c>
      <c r="D22" s="315" t="s">
        <v>83</v>
      </c>
      <c r="E22" s="315" t="s">
        <v>160</v>
      </c>
      <c r="F22" s="322" t="s">
        <v>167</v>
      </c>
      <c r="G22" s="298" t="s">
        <v>437</v>
      </c>
      <c r="H22" s="299">
        <v>1</v>
      </c>
      <c r="I22" s="299">
        <v>1</v>
      </c>
      <c r="J22" s="300">
        <v>603</v>
      </c>
      <c r="K22" s="300">
        <f t="shared" ref="K22" si="19">IF(F22&lt;&gt;"",H22*I22*J22,"")</f>
        <v>603</v>
      </c>
      <c r="L22" s="300">
        <f t="shared" ref="L22" si="20">IF(K22&lt;&gt;"",IF(D22="INTERNO",0,K22*$L$14),"")</f>
        <v>30.150000000000002</v>
      </c>
      <c r="M22" s="300">
        <f t="shared" ref="M22" si="21">IF(K22&lt;&gt;"",IF(E22="FAT.OGGI",SUM(K22:L22)*(1/(1-$M$14)-1),L22*(1/(1-$M$14)-1)),"")</f>
        <v>7.3173791475083911</v>
      </c>
      <c r="N22" s="301">
        <f t="shared" ref="N22" si="22">SUM(K22:M22)</f>
        <v>640.46737914750838</v>
      </c>
      <c r="Q22" s="302">
        <v>1</v>
      </c>
      <c r="R22" s="303">
        <v>1</v>
      </c>
      <c r="S22" s="310">
        <v>603</v>
      </c>
      <c r="T22" s="304">
        <f t="shared" si="16"/>
        <v>603</v>
      </c>
      <c r="U22" s="305">
        <f t="shared" ref="U22" si="23">IF(Q22&lt;&gt;"",K22-T22,"")</f>
        <v>0</v>
      </c>
      <c r="V22" s="306">
        <f t="shared" ref="V22" si="24">IF(Q22&lt;&gt;"",0%,"")</f>
        <v>0</v>
      </c>
      <c r="W22" s="307">
        <f>IF(Q22&lt;&gt;"",V22*U22,"")</f>
        <v>0</v>
      </c>
      <c r="X22" s="307">
        <f t="shared" ref="X22" si="25">IF(Q22&lt;&gt;"",W22+T22,"")</f>
        <v>603</v>
      </c>
      <c r="Y22" s="308">
        <f t="shared" ref="Y22" si="26">IF(Q22&lt;&gt;"",X22+M22,"")</f>
        <v>610.3173791475084</v>
      </c>
      <c r="Z22" s="324">
        <f t="shared" ref="Z22" si="27">IF(Q22&lt;&gt;"",U22/K22,"")</f>
        <v>0</v>
      </c>
      <c r="AA22" s="751">
        <f t="shared" si="6"/>
        <v>2.8366031888500325E-2</v>
      </c>
      <c r="AB22" s="707">
        <f t="shared" si="12"/>
        <v>603</v>
      </c>
      <c r="AC22" s="627"/>
    </row>
    <row r="23" spans="1:29" ht="199.8" x14ac:dyDescent="0.45">
      <c r="A23" s="315">
        <v>9</v>
      </c>
      <c r="B23" s="316" t="s">
        <v>72</v>
      </c>
      <c r="C23" s="317" t="s">
        <v>58</v>
      </c>
      <c r="D23" s="315" t="s">
        <v>83</v>
      </c>
      <c r="E23" s="315" t="s">
        <v>160</v>
      </c>
      <c r="F23" s="322" t="s">
        <v>231</v>
      </c>
      <c r="G23" s="298" t="s">
        <v>232</v>
      </c>
      <c r="H23" s="299">
        <v>1</v>
      </c>
      <c r="I23" s="299">
        <v>2</v>
      </c>
      <c r="J23" s="300">
        <v>2735.25</v>
      </c>
      <c r="K23" s="300">
        <f t="shared" si="13"/>
        <v>5470.5</v>
      </c>
      <c r="L23" s="300">
        <f t="shared" si="0"/>
        <v>273.52500000000003</v>
      </c>
      <c r="M23" s="300">
        <f t="shared" si="14"/>
        <v>66.384282962594781</v>
      </c>
      <c r="N23" s="301">
        <f t="shared" si="15"/>
        <v>5810.4092829625943</v>
      </c>
      <c r="Q23" s="302">
        <v>1</v>
      </c>
      <c r="R23" s="303">
        <v>2</v>
      </c>
      <c r="S23" s="343">
        <v>2735.25</v>
      </c>
      <c r="T23" s="304">
        <f t="shared" si="16"/>
        <v>5470.5</v>
      </c>
      <c r="U23" s="305">
        <f t="shared" si="1"/>
        <v>0</v>
      </c>
      <c r="V23" s="306">
        <f t="shared" si="2"/>
        <v>0</v>
      </c>
      <c r="W23" s="307">
        <f>IF(Q23&lt;&gt;"",V23*U23,"")</f>
        <v>0</v>
      </c>
      <c r="X23" s="307">
        <f t="shared" si="4"/>
        <v>5470.5</v>
      </c>
      <c r="Y23" s="308">
        <f t="shared" si="18"/>
        <v>5536.8842829625946</v>
      </c>
      <c r="Z23" s="324">
        <f t="shared" si="5"/>
        <v>0</v>
      </c>
      <c r="AA23" s="751">
        <f t="shared" si="6"/>
        <v>0.25734059277950422</v>
      </c>
      <c r="AB23" s="707">
        <f t="shared" si="12"/>
        <v>5470.5</v>
      </c>
      <c r="AC23" s="627"/>
    </row>
    <row r="24" spans="1:29" s="672" customFormat="1" ht="30.75" customHeight="1" thickBot="1" x14ac:dyDescent="0.35">
      <c r="A24" s="315">
        <v>10</v>
      </c>
      <c r="B24" s="316"/>
      <c r="C24" s="317" t="s">
        <v>75</v>
      </c>
      <c r="D24" s="315"/>
      <c r="E24" s="315"/>
      <c r="F24" s="740" t="s">
        <v>168</v>
      </c>
      <c r="G24" s="741"/>
      <c r="H24" s="742"/>
      <c r="I24" s="742"/>
      <c r="J24" s="741"/>
      <c r="K24" s="743">
        <f>SUM(K17:K23)</f>
        <v>22200.3</v>
      </c>
      <c r="L24" s="743">
        <f>SUM(L17:L23)</f>
        <v>1110.0150000000001</v>
      </c>
      <c r="M24" s="743">
        <f>SUM(M17:M23)</f>
        <v>269.39968870386491</v>
      </c>
      <c r="N24" s="744">
        <f>SUM(N17:N23)</f>
        <v>23579.714688703865</v>
      </c>
      <c r="Q24" s="973" t="s">
        <v>76</v>
      </c>
      <c r="R24" s="974"/>
      <c r="S24" s="974"/>
      <c r="T24" s="745">
        <f>SUM(T17:T23)</f>
        <v>21257.82</v>
      </c>
      <c r="U24" s="746">
        <f>SUM(U17:U23)</f>
        <v>942.48</v>
      </c>
      <c r="V24" s="747"/>
      <c r="W24" s="747"/>
      <c r="X24" s="748">
        <f>SUM(X17:X23)</f>
        <v>21257.82</v>
      </c>
      <c r="Y24" s="749">
        <f t="shared" si="18"/>
        <v>21527.219688703866</v>
      </c>
      <c r="AB24" s="707"/>
      <c r="AC24" s="626"/>
    </row>
    <row r="25" spans="1:29" ht="31.5" customHeight="1" thickBot="1" x14ac:dyDescent="0.5">
      <c r="A25" s="320">
        <v>11</v>
      </c>
      <c r="B25" s="350"/>
      <c r="C25" s="321" t="s">
        <v>79</v>
      </c>
      <c r="D25" s="320"/>
      <c r="E25" s="320"/>
      <c r="F25" s="135" t="s">
        <v>80</v>
      </c>
      <c r="G25" s="136"/>
      <c r="H25" s="137"/>
      <c r="I25" s="137"/>
      <c r="J25" s="184"/>
      <c r="K25" s="144">
        <f>SUM(K17:K23)</f>
        <v>22200.3</v>
      </c>
      <c r="L25" s="144">
        <f>SUM(L17:L23)</f>
        <v>1110.0150000000001</v>
      </c>
      <c r="M25" s="144">
        <f>SUM(M17:M23)</f>
        <v>269.39968870386491</v>
      </c>
      <c r="N25" s="183">
        <f>SUM(N17:N23)</f>
        <v>23579.714688703865</v>
      </c>
      <c r="Q25" s="138" t="s">
        <v>81</v>
      </c>
      <c r="R25" s="137"/>
      <c r="S25" s="136"/>
      <c r="T25" s="144">
        <f>SUM(T17:T23)</f>
        <v>21257.82</v>
      </c>
      <c r="U25" s="144">
        <f>SUM(U17:U23)</f>
        <v>942.48</v>
      </c>
      <c r="V25" s="136"/>
      <c r="W25" s="136"/>
      <c r="X25" s="144">
        <f>SUM(X17:X23)</f>
        <v>21257.82</v>
      </c>
      <c r="Y25" s="183">
        <f>SUM(Y17:Y23)</f>
        <v>21527.219688703866</v>
      </c>
      <c r="Z25" s="139">
        <f>IF(Q25&lt;&gt;"",(N25-Y25)/N25,"")</f>
        <v>8.7044946348874636E-2</v>
      </c>
      <c r="AA25" s="663">
        <f>IF(Z25&lt;&gt;"",(N25-Y25),"")</f>
        <v>2052.494999999999</v>
      </c>
      <c r="AB25" s="707">
        <f>SUM(AB17:AB24)</f>
        <v>21257.82</v>
      </c>
      <c r="AC25" s="627">
        <f>SUM(AC17:AC24)</f>
        <v>0</v>
      </c>
    </row>
    <row r="28" spans="1:29" ht="28.8" x14ac:dyDescent="0.55000000000000004">
      <c r="AB28" s="766">
        <v>0</v>
      </c>
      <c r="AC28" s="767" t="s">
        <v>54</v>
      </c>
    </row>
    <row r="29" spans="1:29" ht="28.8" x14ac:dyDescent="0.55000000000000004">
      <c r="AB29" s="766">
        <v>0</v>
      </c>
      <c r="AC29" s="767" t="s">
        <v>55</v>
      </c>
    </row>
    <row r="30" spans="1:29" ht="28.8" x14ac:dyDescent="0.55000000000000004">
      <c r="AB30" s="766">
        <v>0</v>
      </c>
      <c r="AC30" s="767" t="s">
        <v>468</v>
      </c>
    </row>
    <row r="31" spans="1:29" ht="28.8" x14ac:dyDescent="0.55000000000000004">
      <c r="AB31" s="766">
        <v>0</v>
      </c>
      <c r="AC31" s="768" t="s">
        <v>457</v>
      </c>
    </row>
    <row r="32" spans="1:29" ht="28.8" x14ac:dyDescent="0.55000000000000004">
      <c r="AB32" s="766">
        <v>0</v>
      </c>
      <c r="AC32" s="768"/>
    </row>
  </sheetData>
  <mergeCells count="9">
    <mergeCell ref="Q16:Y16"/>
    <mergeCell ref="Q24:S24"/>
    <mergeCell ref="Q12:T12"/>
    <mergeCell ref="U12:X12"/>
    <mergeCell ref="AD12:AF12"/>
    <mergeCell ref="AH12:AI12"/>
    <mergeCell ref="AB14:AC14"/>
    <mergeCell ref="F15:N15"/>
    <mergeCell ref="Q15:Y15"/>
  </mergeCells>
  <dataValidations count="3">
    <dataValidation type="list" allowBlank="1" showInputMessage="1" showErrorMessage="1" sqref="E25" xr:uid="{933FD443-93F9-4BED-9F84-3E02EF5D1BF8}">
      <formula1>"FAT.OGGI,FAT.CLIENTE "</formula1>
    </dataValidation>
    <dataValidation type="list" allowBlank="1" showInputMessage="1" showErrorMessage="1" sqref="D25 D17:D23" xr:uid="{0E08DA31-86A7-42C0-960D-AB0FC7D17668}">
      <formula1>"INTERNO,OPERACIONAL"</formula1>
    </dataValidation>
    <dataValidation type="list" allowBlank="1" showInputMessage="1" showErrorMessage="1" sqref="E17:E23" xr:uid="{C09483DE-7FEA-4EFD-82E8-85636D802B19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A4C94-6364-4231-A5AA-9E400A1A7FFF}">
  <sheetPr>
    <tabColor theme="0"/>
  </sheetPr>
  <dimension ref="B3:C18"/>
  <sheetViews>
    <sheetView workbookViewId="0">
      <selection activeCell="B11" sqref="B11"/>
    </sheetView>
  </sheetViews>
  <sheetFormatPr defaultRowHeight="14.4" x14ac:dyDescent="0.3"/>
  <cols>
    <col min="2" max="2" width="35.77734375" customWidth="1"/>
    <col min="3" max="3" width="26.109375" customWidth="1"/>
  </cols>
  <sheetData>
    <row r="3" spans="2:3" ht="19.95" customHeight="1" x14ac:dyDescent="0.4">
      <c r="B3" s="975" t="s">
        <v>511</v>
      </c>
      <c r="C3" s="975"/>
    </row>
    <row r="4" spans="2:3" ht="19.95" customHeight="1" x14ac:dyDescent="0.3">
      <c r="B4" s="754" t="s">
        <v>502</v>
      </c>
      <c r="C4" s="793">
        <v>388.86</v>
      </c>
    </row>
    <row r="5" spans="2:3" ht="19.95" customHeight="1" x14ac:dyDescent="0.3">
      <c r="B5" s="754" t="s">
        <v>521</v>
      </c>
      <c r="C5" s="793">
        <v>3400</v>
      </c>
    </row>
    <row r="6" spans="2:3" ht="19.95" customHeight="1" x14ac:dyDescent="0.3">
      <c r="B6" s="754" t="s">
        <v>512</v>
      </c>
      <c r="C6" s="793">
        <v>53.97</v>
      </c>
    </row>
    <row r="7" spans="2:3" ht="19.95" customHeight="1" x14ac:dyDescent="0.3">
      <c r="B7" s="754" t="s">
        <v>512</v>
      </c>
      <c r="C7" s="793">
        <v>105.87</v>
      </c>
    </row>
    <row r="8" spans="2:3" ht="19.95" customHeight="1" x14ac:dyDescent="0.3">
      <c r="B8" s="754" t="s">
        <v>513</v>
      </c>
      <c r="C8" s="793">
        <v>967.32</v>
      </c>
    </row>
    <row r="9" spans="2:3" ht="19.95" customHeight="1" x14ac:dyDescent="0.3">
      <c r="B9" s="754" t="s">
        <v>504</v>
      </c>
      <c r="C9" s="793">
        <v>256.38</v>
      </c>
    </row>
    <row r="10" spans="2:3" ht="19.95" customHeight="1" x14ac:dyDescent="0.3">
      <c r="B10" s="754" t="s">
        <v>525</v>
      </c>
      <c r="C10" s="793">
        <v>355.87</v>
      </c>
    </row>
    <row r="11" spans="2:3" ht="19.95" customHeight="1" x14ac:dyDescent="0.3">
      <c r="B11" s="754" t="s">
        <v>514</v>
      </c>
      <c r="C11" s="793">
        <v>350</v>
      </c>
    </row>
    <row r="12" spans="2:3" ht="33.450000000000003" customHeight="1" x14ac:dyDescent="0.3">
      <c r="B12" s="797" t="s">
        <v>515</v>
      </c>
      <c r="C12" s="793">
        <v>2956.75</v>
      </c>
    </row>
    <row r="13" spans="2:3" ht="33.450000000000003" customHeight="1" x14ac:dyDescent="0.3">
      <c r="B13" s="797" t="s">
        <v>524</v>
      </c>
      <c r="C13" s="793">
        <v>92.15</v>
      </c>
    </row>
    <row r="14" spans="2:3" ht="19.95" customHeight="1" x14ac:dyDescent="0.3">
      <c r="B14" s="754" t="s">
        <v>514</v>
      </c>
      <c r="C14" s="793">
        <v>565.42999999999995</v>
      </c>
    </row>
    <row r="15" spans="2:3" ht="19.95" customHeight="1" x14ac:dyDescent="0.3">
      <c r="B15" s="754" t="s">
        <v>522</v>
      </c>
      <c r="C15" s="793">
        <v>785.53</v>
      </c>
    </row>
    <row r="16" spans="2:3" ht="19.95" customHeight="1" x14ac:dyDescent="0.3">
      <c r="B16" s="754" t="s">
        <v>520</v>
      </c>
      <c r="C16" s="793">
        <v>6000</v>
      </c>
    </row>
    <row r="17" spans="2:3" ht="19.95" customHeight="1" x14ac:dyDescent="0.3">
      <c r="B17" s="754" t="s">
        <v>502</v>
      </c>
      <c r="C17" s="793">
        <v>1950</v>
      </c>
    </row>
    <row r="18" spans="2:3" ht="19.95" customHeight="1" x14ac:dyDescent="0.4">
      <c r="B18" s="755"/>
      <c r="C18" s="756">
        <f>SUM(C4:C17)</f>
        <v>18228.13</v>
      </c>
    </row>
  </sheetData>
  <mergeCells count="1">
    <mergeCell ref="B3:C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C952D-CC83-4419-AC76-221602669B91}">
  <sheetPr codeName="Planilha23">
    <tabColor theme="0"/>
    <pageSetUpPr autoPageBreaks="0"/>
  </sheetPr>
  <dimension ref="A1:E33"/>
  <sheetViews>
    <sheetView showGridLines="0" zoomScale="80" zoomScaleNormal="80" workbookViewId="0">
      <pane ySplit="1" topLeftCell="A13" activePane="bottomLeft" state="frozen"/>
      <selection activeCell="AC1" sqref="AC1"/>
      <selection pane="bottomLeft" activeCell="L32" sqref="L32"/>
    </sheetView>
  </sheetViews>
  <sheetFormatPr defaultRowHeight="14.4" x14ac:dyDescent="0.3"/>
  <cols>
    <col min="1" max="1" width="57.21875" customWidth="1"/>
    <col min="2" max="2" width="26.5546875" customWidth="1"/>
    <col min="3" max="3" width="27.44140625" style="53" customWidth="1"/>
    <col min="4" max="4" width="18.21875" customWidth="1"/>
    <col min="5" max="5" width="10.77734375" customWidth="1"/>
    <col min="6" max="6" width="3.21875" customWidth="1"/>
    <col min="7" max="7" width="4.21875" customWidth="1"/>
  </cols>
  <sheetData>
    <row r="1" spans="1:5" ht="25.8" x14ac:dyDescent="0.3">
      <c r="A1" s="959" t="s">
        <v>0</v>
      </c>
      <c r="B1" s="959"/>
    </row>
    <row r="2" spans="1:5" ht="24.75" customHeight="1" x14ac:dyDescent="0.3">
      <c r="A2" s="960" t="s">
        <v>1</v>
      </c>
      <c r="B2" s="960"/>
    </row>
    <row r="3" spans="1:5" ht="18.600000000000001" thickBot="1" x14ac:dyDescent="0.35">
      <c r="A3" s="89"/>
      <c r="B3" s="89"/>
    </row>
    <row r="4" spans="1:5" ht="18" x14ac:dyDescent="0.3">
      <c r="A4" s="161" t="s">
        <v>2</v>
      </c>
      <c r="B4" s="164"/>
    </row>
    <row r="5" spans="1:5" ht="18" x14ac:dyDescent="0.3">
      <c r="A5" s="162" t="s">
        <v>3</v>
      </c>
      <c r="B5" s="165"/>
    </row>
    <row r="6" spans="1:5" ht="18" x14ac:dyDescent="0.3">
      <c r="A6" s="162" t="s">
        <v>4</v>
      </c>
      <c r="B6" s="166"/>
    </row>
    <row r="7" spans="1:5" ht="21.75" customHeight="1" x14ac:dyDescent="0.3">
      <c r="A7" s="162" t="s">
        <v>5</v>
      </c>
      <c r="B7" s="167"/>
    </row>
    <row r="8" spans="1:5" ht="18" x14ac:dyDescent="0.3">
      <c r="A8" s="162" t="s">
        <v>6</v>
      </c>
      <c r="B8" s="168"/>
    </row>
    <row r="9" spans="1:5" ht="18" x14ac:dyDescent="0.3">
      <c r="A9" s="162" t="s">
        <v>7</v>
      </c>
      <c r="B9" s="167"/>
    </row>
    <row r="10" spans="1:5" ht="18" x14ac:dyDescent="0.3">
      <c r="A10" s="162" t="s">
        <v>8</v>
      </c>
      <c r="B10" s="167"/>
    </row>
    <row r="11" spans="1:5" ht="18.600000000000001" thickBot="1" x14ac:dyDescent="0.35">
      <c r="A11" s="163" t="s">
        <v>9</v>
      </c>
      <c r="B11" s="169"/>
    </row>
    <row r="14" spans="1:5" ht="15" customHeight="1" x14ac:dyDescent="0.3"/>
    <row r="15" spans="1:5" ht="17.25" customHeight="1" x14ac:dyDescent="0.3">
      <c r="A15" s="156"/>
      <c r="B15" s="157"/>
      <c r="C15" s="157"/>
      <c r="D15" s="155"/>
      <c r="E15" s="154"/>
    </row>
    <row r="16" spans="1:5" ht="17.25" customHeight="1" thickBot="1" x14ac:dyDescent="0.35">
      <c r="A16" s="156"/>
      <c r="B16" s="157"/>
      <c r="C16" s="157"/>
      <c r="D16" s="155"/>
      <c r="E16" s="154"/>
    </row>
    <row r="17" spans="1:5" ht="23.25" customHeight="1" x14ac:dyDescent="0.3">
      <c r="A17" s="976" t="s">
        <v>221</v>
      </c>
      <c r="B17" s="977"/>
      <c r="C17" s="978"/>
    </row>
    <row r="18" spans="1:5" ht="46.5" customHeight="1" x14ac:dyDescent="0.3">
      <c r="A18" s="202" t="s">
        <v>50</v>
      </c>
      <c r="B18" s="203">
        <f>INTERNOS!N26</f>
        <v>59028.209270535604</v>
      </c>
      <c r="C18" s="204">
        <f>INTERNOS!Y26</f>
        <v>29728.209270535608</v>
      </c>
      <c r="D18" s="155">
        <f>B18-C18</f>
        <v>29299.999999999996</v>
      </c>
      <c r="E18" s="154">
        <f>(D18/B18)*100%</f>
        <v>0.49637284210526311</v>
      </c>
    </row>
    <row r="19" spans="1:5" ht="43.5" customHeight="1" x14ac:dyDescent="0.3">
      <c r="A19" s="202" t="s">
        <v>222</v>
      </c>
      <c r="B19" s="203">
        <f>EVENTO!N69</f>
        <v>507290.73660991678</v>
      </c>
      <c r="C19" s="204">
        <f>EVENTO!Y69</f>
        <v>386490.98085991683</v>
      </c>
      <c r="D19" s="155">
        <f>B19-C19</f>
        <v>120799.75574999995</v>
      </c>
      <c r="E19" s="154">
        <f>(D19/B19)*100%</f>
        <v>0.23812726516015489</v>
      </c>
    </row>
    <row r="20" spans="1:5" ht="43.5" customHeight="1" thickBot="1" x14ac:dyDescent="0.35">
      <c r="A20" s="227" t="s">
        <v>392</v>
      </c>
      <c r="B20" s="191">
        <f>Brindes!N24</f>
        <v>53393.581458928798</v>
      </c>
      <c r="C20" s="228">
        <f>Brindes!Y24</f>
        <v>40931.766458928796</v>
      </c>
      <c r="D20" s="155">
        <f>B20-C20</f>
        <v>12461.815000000002</v>
      </c>
      <c r="E20" s="154">
        <f>(D20/B20)*100%</f>
        <v>0.23339537561431106</v>
      </c>
    </row>
    <row r="21" spans="1:5" ht="31.5" customHeight="1" thickTop="1" x14ac:dyDescent="0.3">
      <c r="A21" s="205"/>
      <c r="B21" s="206">
        <f>SUM(B18:B20)</f>
        <v>619712.52733938117</v>
      </c>
      <c r="C21" s="206">
        <f>SUM(C18:C20)</f>
        <v>457150.95658938127</v>
      </c>
      <c r="D21" s="155">
        <f>B21-C21</f>
        <v>162561.5707499999</v>
      </c>
      <c r="E21" s="154">
        <f>(D21/B21)*100%</f>
        <v>0.26231770954821154</v>
      </c>
    </row>
    <row r="22" spans="1:5" ht="18.75" customHeight="1" x14ac:dyDescent="0.3">
      <c r="A22" s="207"/>
      <c r="B22" s="195"/>
      <c r="C22" s="195"/>
      <c r="D22" s="155"/>
      <c r="E22" s="154"/>
    </row>
    <row r="23" spans="1:5" ht="18.75" customHeight="1" thickBot="1" x14ac:dyDescent="0.35">
      <c r="A23" s="207"/>
      <c r="B23" s="195"/>
      <c r="C23" s="195"/>
      <c r="D23" s="155"/>
      <c r="E23" s="154"/>
    </row>
    <row r="24" spans="1:5" ht="18.75" customHeight="1" thickBot="1" x14ac:dyDescent="0.35">
      <c r="A24" s="979" t="s">
        <v>223</v>
      </c>
      <c r="B24" s="980"/>
      <c r="C24" s="981"/>
      <c r="D24" s="155"/>
      <c r="E24" s="154"/>
    </row>
    <row r="25" spans="1:5" ht="42" customHeight="1" thickTop="1" x14ac:dyDescent="0.3">
      <c r="A25" s="198" t="s">
        <v>224</v>
      </c>
      <c r="B25" s="209">
        <f>Novotel!N41</f>
        <v>906989.52556232119</v>
      </c>
      <c r="C25" s="199">
        <f>Novotel!Y41</f>
        <v>884130.94556232158</v>
      </c>
      <c r="D25" s="155">
        <f>B25-C25</f>
        <v>22858.579999999609</v>
      </c>
      <c r="E25" s="154">
        <f>(D25/B25)*100%</f>
        <v>2.5202694579992642E-2</v>
      </c>
    </row>
    <row r="26" spans="1:5" ht="43.5" customHeight="1" thickBot="1" x14ac:dyDescent="0.35">
      <c r="A26" s="200" t="s">
        <v>225</v>
      </c>
      <c r="B26" s="191">
        <f>'Novotel Reunião 13pax'!N25</f>
        <v>23579.714688703865</v>
      </c>
      <c r="C26" s="201">
        <f>'Novotel Reunião 13pax'!Y25</f>
        <v>21527.219688703866</v>
      </c>
      <c r="D26" s="155">
        <f>B26-C26</f>
        <v>2052.494999999999</v>
      </c>
      <c r="E26" s="154">
        <f>(D26/B26)*100%</f>
        <v>8.7044946348874636E-2</v>
      </c>
    </row>
    <row r="27" spans="1:5" ht="18.75" customHeight="1" thickTop="1" x14ac:dyDescent="0.3">
      <c r="A27" s="196" t="s">
        <v>226</v>
      </c>
      <c r="B27" s="197">
        <f>B25+B26</f>
        <v>930569.24025102507</v>
      </c>
      <c r="C27" s="197">
        <f>C25+C26</f>
        <v>905658.16525102546</v>
      </c>
      <c r="D27" s="155">
        <f>B27-C27</f>
        <v>24911.074999999604</v>
      </c>
      <c r="E27" s="154">
        <f>(D27/B27)*100%</f>
        <v>2.6769716773874595E-2</v>
      </c>
    </row>
    <row r="28" spans="1:5" ht="18.75" customHeight="1" x14ac:dyDescent="0.3">
      <c r="A28" s="194"/>
      <c r="B28" s="195"/>
      <c r="C28" s="195"/>
      <c r="D28" s="155"/>
      <c r="E28" s="154"/>
    </row>
    <row r="29" spans="1:5" ht="18.75" customHeight="1" x14ac:dyDescent="0.3">
      <c r="A29" s="192"/>
      <c r="B29" s="193"/>
      <c r="C29" s="193"/>
      <c r="D29" s="155"/>
      <c r="E29" s="154"/>
    </row>
    <row r="30" spans="1:5" ht="15" thickBot="1" x14ac:dyDescent="0.35">
      <c r="A30" s="158" t="s">
        <v>81</v>
      </c>
      <c r="B30" s="159">
        <f>B21+B27</f>
        <v>1550281.7675904064</v>
      </c>
      <c r="C30" s="160">
        <f>C21+C27</f>
        <v>1362809.1218404067</v>
      </c>
      <c r="D30" s="170">
        <f>D21+D27</f>
        <v>187472.6457499995</v>
      </c>
      <c r="E30" s="171">
        <f>(D30/B30)*100%</f>
        <v>0.12092811105002357</v>
      </c>
    </row>
    <row r="31" spans="1:5" ht="17.25" customHeight="1" x14ac:dyDescent="0.3">
      <c r="A31" s="156"/>
      <c r="B31" s="157"/>
      <c r="C31" s="157"/>
      <c r="D31" s="155"/>
      <c r="E31" s="154"/>
    </row>
    <row r="32" spans="1:5" x14ac:dyDescent="0.3">
      <c r="B32" s="190"/>
    </row>
    <row r="33" spans="2:2" x14ac:dyDescent="0.3">
      <c r="B33" s="190"/>
    </row>
  </sheetData>
  <mergeCells count="4">
    <mergeCell ref="A17:C17"/>
    <mergeCell ref="A1:B1"/>
    <mergeCell ref="A2:B2"/>
    <mergeCell ref="A24:C24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8914" r:id="rId4" name="Label2">
          <controlPr defaultSize="0" autoLine="0" autoPict="0" r:id="rId5">
            <anchor>
              <from>
                <xdr:col>38</xdr:col>
                <xdr:colOff>365760</xdr:colOff>
                <xdr:row>0</xdr:row>
                <xdr:rowOff>220980</xdr:rowOff>
              </from>
              <to>
                <xdr:col>40</xdr:col>
                <xdr:colOff>114300</xdr:colOff>
                <xdr:row>2</xdr:row>
                <xdr:rowOff>129540</xdr:rowOff>
              </to>
            </anchor>
          </controlPr>
        </control>
      </mc:Choice>
      <mc:Fallback>
        <control shapeId="38914" r:id="rId4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topLeftCell="P1" zoomScale="70" zoomScaleNormal="70" workbookViewId="0">
      <selection activeCell="E29" sqref="E29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1" t="s">
        <v>233</v>
      </c>
      <c r="B8" s="21" t="s">
        <v>234</v>
      </c>
      <c r="C8" s="21" t="s">
        <v>235</v>
      </c>
      <c r="D8" s="21" t="s">
        <v>236</v>
      </c>
      <c r="E8" s="21" t="s">
        <v>237</v>
      </c>
      <c r="F8" s="21" t="s">
        <v>238</v>
      </c>
      <c r="G8" s="22" t="s">
        <v>239</v>
      </c>
      <c r="H8" s="22" t="s">
        <v>240</v>
      </c>
      <c r="I8" s="22" t="s">
        <v>28</v>
      </c>
      <c r="J8" s="22" t="s">
        <v>241</v>
      </c>
      <c r="K8" s="22" t="s">
        <v>242</v>
      </c>
      <c r="L8" s="22" t="s">
        <v>243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77734375" customWidth="1"/>
  </cols>
  <sheetData>
    <row r="2" spans="1:148" x14ac:dyDescent="0.3">
      <c r="A2" t="s">
        <v>244</v>
      </c>
    </row>
    <row r="3" spans="1:148" x14ac:dyDescent="0.3">
      <c r="A3" s="24" t="s">
        <v>245</v>
      </c>
      <c r="B3" s="23" t="s">
        <v>246</v>
      </c>
    </row>
    <row r="5" spans="1:148" ht="15" thickBot="1" x14ac:dyDescent="0.35"/>
    <row r="6" spans="1:148" ht="61.2" x14ac:dyDescent="1.1000000000000001">
      <c r="J6" s="982" t="s">
        <v>247</v>
      </c>
      <c r="K6" s="983"/>
      <c r="L6" s="983"/>
      <c r="M6" s="983"/>
      <c r="N6" s="983"/>
      <c r="O6" s="983"/>
      <c r="P6" s="983"/>
      <c r="Q6" s="983"/>
      <c r="R6" s="983"/>
      <c r="S6" s="983"/>
      <c r="T6" s="983"/>
      <c r="U6" s="983"/>
      <c r="V6" s="983"/>
      <c r="W6" s="983"/>
      <c r="X6" s="983"/>
      <c r="Y6" s="983"/>
      <c r="Z6" s="983"/>
      <c r="AA6" s="983"/>
      <c r="AB6" s="983"/>
      <c r="AC6" s="983"/>
      <c r="AD6" s="983"/>
      <c r="AE6" s="983"/>
      <c r="AF6" s="983"/>
      <c r="AG6" s="983"/>
      <c r="AH6" s="983"/>
      <c r="AI6" s="983"/>
      <c r="AJ6" s="983"/>
      <c r="AK6" s="983"/>
      <c r="AL6" s="983"/>
      <c r="AM6" s="983"/>
      <c r="AN6" s="983"/>
      <c r="AO6" s="983"/>
      <c r="AP6" s="983"/>
      <c r="AQ6" s="983"/>
      <c r="AR6" s="983"/>
      <c r="AS6" s="983"/>
      <c r="AT6" s="983"/>
      <c r="AU6" s="983"/>
      <c r="AV6" s="983"/>
      <c r="AW6" s="983"/>
      <c r="AX6" s="983"/>
      <c r="AY6" s="983"/>
      <c r="AZ6" s="983"/>
      <c r="BA6" s="983"/>
      <c r="BB6" s="983"/>
      <c r="BC6" s="984"/>
      <c r="BH6" s="982" t="s">
        <v>248</v>
      </c>
      <c r="BI6" s="983"/>
      <c r="BJ6" s="983"/>
      <c r="BK6" s="983"/>
      <c r="BL6" s="983"/>
      <c r="BM6" s="983"/>
      <c r="BN6" s="983"/>
      <c r="BO6" s="983"/>
      <c r="BP6" s="983"/>
      <c r="BQ6" s="983"/>
      <c r="BR6" s="983"/>
      <c r="BS6" s="983"/>
      <c r="BT6" s="983"/>
      <c r="BU6" s="983"/>
      <c r="BV6" s="983"/>
      <c r="BW6" s="983"/>
      <c r="BX6" s="983"/>
      <c r="BY6" s="983"/>
      <c r="BZ6" s="983"/>
      <c r="CA6" s="983"/>
      <c r="CB6" s="983"/>
      <c r="CC6" s="983"/>
      <c r="CD6" s="983"/>
      <c r="CE6" s="983"/>
      <c r="CF6" s="983"/>
      <c r="CG6" s="983"/>
      <c r="CH6" s="983"/>
      <c r="CI6" s="983"/>
      <c r="CJ6" s="983"/>
      <c r="CK6" s="983"/>
      <c r="CL6" s="983"/>
      <c r="CM6" s="983"/>
      <c r="CN6" s="983"/>
      <c r="CO6" s="983"/>
      <c r="CP6" s="983"/>
      <c r="CQ6" s="983"/>
      <c r="CR6" s="983"/>
      <c r="CS6" s="983"/>
      <c r="CT6" s="983"/>
      <c r="CU6" s="983"/>
      <c r="CV6" s="983"/>
      <c r="CW6" s="983"/>
      <c r="CX6" s="983"/>
      <c r="CY6" s="983"/>
      <c r="CZ6" s="983"/>
      <c r="DA6" s="984"/>
      <c r="DC6" s="985" t="s">
        <v>249</v>
      </c>
      <c r="DD6" s="986"/>
      <c r="DE6" s="986"/>
      <c r="DF6" s="986"/>
      <c r="DG6" s="986"/>
      <c r="DH6" s="986"/>
      <c r="DI6" s="986"/>
      <c r="DJ6" s="986"/>
      <c r="DK6" s="986"/>
      <c r="DL6" s="986"/>
      <c r="DM6" s="986"/>
      <c r="DN6" s="986"/>
      <c r="DO6" s="986"/>
      <c r="DP6" s="986"/>
      <c r="DQ6" s="986"/>
      <c r="DR6" s="986"/>
      <c r="DS6" s="986"/>
      <c r="DT6" s="986"/>
      <c r="DU6" s="986"/>
      <c r="DV6" s="986"/>
      <c r="DW6" s="986"/>
      <c r="DX6" s="986"/>
      <c r="DY6" s="986"/>
      <c r="DZ6" s="986"/>
      <c r="EA6" s="986"/>
      <c r="EB6" s="986"/>
      <c r="EC6" s="986"/>
      <c r="ED6" s="986"/>
      <c r="EE6" s="986"/>
      <c r="EF6" s="986"/>
      <c r="EG6" s="986"/>
      <c r="EH6" s="986"/>
      <c r="EI6" s="986"/>
      <c r="EJ6" s="986"/>
      <c r="EK6" s="986"/>
      <c r="EL6" s="986"/>
      <c r="EM6" s="986"/>
      <c r="EN6" s="986"/>
      <c r="EO6" s="986"/>
      <c r="EP6" s="986"/>
      <c r="EQ6" s="986"/>
      <c r="ER6" s="987"/>
    </row>
    <row r="7" spans="1:148" x14ac:dyDescent="0.3">
      <c r="J7" s="25"/>
      <c r="BC7" s="26"/>
      <c r="BH7" s="25"/>
      <c r="DA7" s="26"/>
      <c r="DC7" s="3"/>
      <c r="ER7" s="212"/>
    </row>
    <row r="8" spans="1:148" x14ac:dyDescent="0.3">
      <c r="J8" s="25"/>
      <c r="BC8" s="26"/>
      <c r="BH8" s="25"/>
      <c r="DA8" s="26"/>
      <c r="DC8" s="3"/>
      <c r="ER8" s="212"/>
    </row>
    <row r="9" spans="1:148" x14ac:dyDescent="0.3">
      <c r="J9" s="25"/>
      <c r="BC9" s="26"/>
      <c r="BH9" s="25"/>
      <c r="DA9" s="26"/>
      <c r="DC9" s="3"/>
      <c r="ER9" s="212"/>
    </row>
    <row r="10" spans="1:148" x14ac:dyDescent="0.3">
      <c r="J10" s="25"/>
      <c r="BC10" s="26"/>
      <c r="BH10" s="25"/>
      <c r="DA10" s="26"/>
      <c r="DC10" s="3"/>
      <c r="ER10" s="212"/>
    </row>
    <row r="11" spans="1:148" x14ac:dyDescent="0.3">
      <c r="J11" s="25"/>
      <c r="BC11" s="26"/>
      <c r="BH11" s="25"/>
      <c r="DA11" s="26"/>
      <c r="DC11" s="3"/>
      <c r="ER11" s="212"/>
    </row>
    <row r="12" spans="1:148" x14ac:dyDescent="0.3">
      <c r="J12" s="25"/>
      <c r="BC12" s="26"/>
      <c r="BH12" s="25"/>
      <c r="DA12" s="26"/>
      <c r="DC12" s="3"/>
      <c r="ER12" s="212"/>
    </row>
    <row r="13" spans="1:148" x14ac:dyDescent="0.3">
      <c r="J13" s="25"/>
      <c r="BC13" s="26"/>
      <c r="BH13" s="25"/>
      <c r="DA13" s="26"/>
      <c r="DC13" s="3"/>
      <c r="ER13" s="212"/>
    </row>
    <row r="14" spans="1:148" x14ac:dyDescent="0.3">
      <c r="J14" s="25"/>
      <c r="BC14" s="26"/>
      <c r="BH14" s="25"/>
      <c r="DA14" s="26"/>
      <c r="DC14" s="3"/>
      <c r="ER14" s="212"/>
    </row>
    <row r="15" spans="1:148" x14ac:dyDescent="0.3">
      <c r="J15" s="25"/>
      <c r="BC15" s="26"/>
      <c r="BH15" s="25"/>
      <c r="DA15" s="26"/>
      <c r="DC15" s="3"/>
      <c r="ER15" s="212"/>
    </row>
    <row r="16" spans="1:148" x14ac:dyDescent="0.3">
      <c r="J16" s="25"/>
      <c r="BC16" s="26"/>
      <c r="BH16" s="25"/>
      <c r="DA16" s="26"/>
      <c r="DC16" s="3"/>
      <c r="ER16" s="212"/>
    </row>
    <row r="17" spans="10:148" x14ac:dyDescent="0.3">
      <c r="J17" s="25"/>
      <c r="BC17" s="26"/>
      <c r="BH17" s="25"/>
      <c r="DA17" s="26"/>
      <c r="DC17" s="3"/>
      <c r="ER17" s="212"/>
    </row>
    <row r="18" spans="10:148" x14ac:dyDescent="0.3">
      <c r="J18" s="25"/>
      <c r="BC18" s="26"/>
      <c r="BH18" s="25"/>
      <c r="DA18" s="26"/>
      <c r="DC18" s="3"/>
      <c r="ER18" s="212"/>
    </row>
    <row r="19" spans="10:148" x14ac:dyDescent="0.3">
      <c r="J19" s="25"/>
      <c r="BC19" s="26"/>
      <c r="BH19" s="25"/>
      <c r="DA19" s="26"/>
      <c r="DC19" s="3"/>
      <c r="ER19" s="212"/>
    </row>
    <row r="20" spans="10:148" x14ac:dyDescent="0.3">
      <c r="J20" s="25"/>
      <c r="BC20" s="26"/>
      <c r="BH20" s="25"/>
      <c r="DA20" s="26"/>
      <c r="DC20" s="3"/>
      <c r="ER20" s="212"/>
    </row>
    <row r="21" spans="10:148" x14ac:dyDescent="0.3">
      <c r="J21" s="25"/>
      <c r="BC21" s="26"/>
      <c r="BH21" s="25"/>
      <c r="DA21" s="26"/>
      <c r="DC21" s="3"/>
      <c r="ER21" s="212"/>
    </row>
    <row r="22" spans="10:148" x14ac:dyDescent="0.3">
      <c r="J22" s="25"/>
      <c r="BC22" s="26"/>
      <c r="BH22" s="25"/>
      <c r="DA22" s="26"/>
      <c r="DC22" s="3"/>
      <c r="ER22" s="212"/>
    </row>
    <row r="23" spans="10:148" x14ac:dyDescent="0.3">
      <c r="J23" s="25"/>
      <c r="BC23" s="26"/>
      <c r="BH23" s="25"/>
      <c r="DA23" s="26"/>
      <c r="DC23" s="3"/>
      <c r="ER23" s="212"/>
    </row>
    <row r="24" spans="10:148" x14ac:dyDescent="0.3">
      <c r="J24" s="25"/>
      <c r="BC24" s="26"/>
      <c r="BH24" s="25"/>
      <c r="DA24" s="26"/>
      <c r="DC24" s="3"/>
      <c r="ER24" s="212"/>
    </row>
    <row r="25" spans="10:148" x14ac:dyDescent="0.3">
      <c r="J25" s="25"/>
      <c r="BC25" s="26"/>
      <c r="BH25" s="25"/>
      <c r="DA25" s="26"/>
      <c r="DC25" s="3"/>
      <c r="ER25" s="212"/>
    </row>
    <row r="26" spans="10:148" x14ac:dyDescent="0.3">
      <c r="J26" s="25"/>
      <c r="BC26" s="26"/>
      <c r="BH26" s="25"/>
      <c r="DA26" s="26"/>
      <c r="DC26" s="3"/>
      <c r="ER26" s="212"/>
    </row>
    <row r="27" spans="10:148" x14ac:dyDescent="0.3">
      <c r="J27" s="25"/>
      <c r="BC27" s="26"/>
      <c r="BH27" s="25"/>
      <c r="DA27" s="26"/>
      <c r="DC27" s="3"/>
      <c r="ER27" s="212"/>
    </row>
    <row r="28" spans="10:148" x14ac:dyDescent="0.3">
      <c r="J28" s="25"/>
      <c r="BC28" s="26"/>
      <c r="BH28" s="25"/>
      <c r="DA28" s="26"/>
      <c r="DC28" s="3"/>
      <c r="ER28" s="212"/>
    </row>
    <row r="29" spans="10:148" x14ac:dyDescent="0.3">
      <c r="J29" s="25"/>
      <c r="BC29" s="26"/>
      <c r="BH29" s="25"/>
      <c r="DA29" s="26"/>
      <c r="DC29" s="3"/>
      <c r="ER29" s="212"/>
    </row>
    <row r="30" spans="10:148" x14ac:dyDescent="0.3">
      <c r="J30" s="25"/>
      <c r="BC30" s="26"/>
      <c r="BH30" s="25"/>
      <c r="DA30" s="26"/>
      <c r="DC30" s="3"/>
      <c r="ER30" s="212"/>
    </row>
    <row r="31" spans="10:148" x14ac:dyDescent="0.3">
      <c r="J31" s="25"/>
      <c r="BC31" s="26"/>
      <c r="BH31" s="25"/>
      <c r="DA31" s="26"/>
      <c r="DC31" s="3"/>
      <c r="ER31" s="212"/>
    </row>
    <row r="32" spans="10:148" x14ac:dyDescent="0.3">
      <c r="J32" s="25"/>
      <c r="BC32" s="26"/>
      <c r="BH32" s="25"/>
      <c r="DA32" s="26"/>
      <c r="DC32" s="3"/>
      <c r="ER32" s="212"/>
    </row>
    <row r="33" spans="10:148" x14ac:dyDescent="0.3">
      <c r="J33" s="25"/>
      <c r="BC33" s="26"/>
      <c r="BH33" s="25"/>
      <c r="DA33" s="26"/>
      <c r="DC33" s="3"/>
      <c r="ER33" s="212"/>
    </row>
    <row r="34" spans="10:148" x14ac:dyDescent="0.3">
      <c r="J34" s="25"/>
      <c r="BC34" s="26"/>
      <c r="BH34" s="25"/>
      <c r="DA34" s="26"/>
      <c r="DC34" s="3"/>
      <c r="ER34" s="212"/>
    </row>
    <row r="35" spans="10:148" x14ac:dyDescent="0.3">
      <c r="J35" s="25"/>
      <c r="BC35" s="26"/>
      <c r="BH35" s="25"/>
      <c r="DA35" s="26"/>
      <c r="DC35" s="3"/>
      <c r="ER35" s="212"/>
    </row>
    <row r="36" spans="10:148" x14ac:dyDescent="0.3">
      <c r="J36" s="25"/>
      <c r="BC36" s="26"/>
      <c r="BH36" s="25"/>
      <c r="DA36" s="26"/>
      <c r="DC36" s="3"/>
      <c r="ER36" s="212"/>
    </row>
    <row r="37" spans="10:148" x14ac:dyDescent="0.3">
      <c r="J37" s="25"/>
      <c r="BC37" s="26"/>
      <c r="BH37" s="25"/>
      <c r="DA37" s="26"/>
      <c r="DC37" s="3"/>
      <c r="ER37" s="212"/>
    </row>
    <row r="38" spans="10:148" x14ac:dyDescent="0.3">
      <c r="J38" s="25"/>
      <c r="BC38" s="26"/>
      <c r="BH38" s="25"/>
      <c r="DA38" s="26"/>
      <c r="DC38" s="3"/>
      <c r="ER38" s="212"/>
    </row>
    <row r="39" spans="10:148" x14ac:dyDescent="0.3">
      <c r="J39" s="25"/>
      <c r="BC39" s="26"/>
      <c r="BH39" s="25"/>
      <c r="DA39" s="26"/>
      <c r="DC39" s="3"/>
      <c r="ER39" s="212"/>
    </row>
    <row r="40" spans="10:148" x14ac:dyDescent="0.3">
      <c r="J40" s="25"/>
      <c r="BC40" s="26"/>
      <c r="BH40" s="25"/>
      <c r="DA40" s="26"/>
      <c r="DC40" s="3"/>
      <c r="ER40" s="212"/>
    </row>
    <row r="41" spans="10:148" x14ac:dyDescent="0.3">
      <c r="J41" s="25"/>
      <c r="BC41" s="26"/>
      <c r="BH41" s="25"/>
      <c r="DA41" s="26"/>
      <c r="DC41" s="3"/>
      <c r="ER41" s="212"/>
    </row>
    <row r="42" spans="10:148" x14ac:dyDescent="0.3">
      <c r="J42" s="25"/>
      <c r="BC42" s="26"/>
      <c r="BH42" s="25"/>
      <c r="DA42" s="26"/>
      <c r="DC42" s="3"/>
      <c r="ER42" s="212"/>
    </row>
    <row r="43" spans="10:148" x14ac:dyDescent="0.3">
      <c r="J43" s="25"/>
      <c r="BC43" s="26"/>
      <c r="BH43" s="25"/>
      <c r="DA43" s="26"/>
      <c r="DC43" s="3"/>
      <c r="ER43" s="212"/>
    </row>
    <row r="44" spans="10:148" ht="15" thickBot="1" x14ac:dyDescent="0.35">
      <c r="J44" s="27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9"/>
      <c r="BH44" s="27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9"/>
      <c r="DC44" s="10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213"/>
    </row>
    <row r="66" ht="13.95" customHeight="1" x14ac:dyDescent="0.3"/>
    <row r="120" spans="144:144" x14ac:dyDescent="0.3">
      <c r="EN120" t="s">
        <v>250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989" t="s">
        <v>251</v>
      </c>
      <c r="B1" s="989"/>
      <c r="C1" s="989"/>
      <c r="D1" s="991" t="s">
        <v>252</v>
      </c>
      <c r="E1" s="991"/>
      <c r="F1" s="991"/>
      <c r="G1" s="991"/>
      <c r="H1" s="991"/>
      <c r="I1" s="991"/>
      <c r="J1" s="30" t="s">
        <v>251</v>
      </c>
      <c r="K1" s="30" t="s">
        <v>251</v>
      </c>
      <c r="L1" s="30" t="s">
        <v>251</v>
      </c>
      <c r="M1" s="30" t="s">
        <v>251</v>
      </c>
      <c r="N1" s="30" t="s">
        <v>251</v>
      </c>
      <c r="O1" s="31" t="s">
        <v>251</v>
      </c>
    </row>
    <row r="2" spans="1:15" x14ac:dyDescent="0.3">
      <c r="A2" s="990"/>
      <c r="B2" s="990"/>
      <c r="C2" s="990"/>
      <c r="D2" s="989" t="s">
        <v>253</v>
      </c>
      <c r="E2" s="989"/>
      <c r="F2" s="989"/>
      <c r="G2" s="989"/>
      <c r="H2" s="989"/>
      <c r="I2" s="989"/>
      <c r="J2" s="30"/>
      <c r="K2" s="30"/>
      <c r="L2" s="30"/>
      <c r="M2" s="30"/>
      <c r="N2" s="30"/>
      <c r="O2" s="992" t="s">
        <v>254</v>
      </c>
    </row>
    <row r="3" spans="1:15" x14ac:dyDescent="0.3">
      <c r="A3" s="990"/>
      <c r="B3" s="990"/>
      <c r="C3" s="990"/>
      <c r="D3" s="989" t="s">
        <v>255</v>
      </c>
      <c r="E3" s="989"/>
      <c r="F3" s="989"/>
      <c r="G3" s="989"/>
      <c r="H3" s="989"/>
      <c r="I3" s="989"/>
      <c r="J3" s="30"/>
      <c r="K3" s="30"/>
      <c r="L3" s="30"/>
      <c r="M3" s="30"/>
      <c r="N3" s="30"/>
      <c r="O3" s="993"/>
    </row>
    <row r="4" spans="1:15" x14ac:dyDescent="0.3">
      <c r="A4" s="990"/>
      <c r="B4" s="990"/>
      <c r="C4" s="990"/>
      <c r="D4" s="989" t="s">
        <v>256</v>
      </c>
      <c r="E4" s="989"/>
      <c r="F4" s="989"/>
      <c r="G4" s="989"/>
      <c r="H4" s="989"/>
      <c r="I4" s="989"/>
      <c r="J4" s="30"/>
      <c r="K4" s="30"/>
      <c r="L4" s="30"/>
      <c r="M4" s="30"/>
      <c r="N4" s="30"/>
      <c r="O4" s="993"/>
    </row>
    <row r="5" spans="1:15" x14ac:dyDescent="0.3">
      <c r="A5" s="990"/>
      <c r="B5" s="990"/>
      <c r="C5" s="990"/>
      <c r="D5" s="989" t="s">
        <v>257</v>
      </c>
      <c r="E5" s="989"/>
      <c r="F5" s="989"/>
      <c r="G5" s="989"/>
      <c r="H5" s="989"/>
      <c r="I5" s="989"/>
      <c r="J5" s="30"/>
      <c r="K5" s="30"/>
      <c r="L5" s="30"/>
      <c r="M5" s="30"/>
      <c r="N5" s="30"/>
      <c r="O5" s="993"/>
    </row>
    <row r="6" spans="1:15" x14ac:dyDescent="0.3">
      <c r="A6" s="990"/>
      <c r="B6" s="990"/>
      <c r="C6" s="99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993"/>
    </row>
    <row r="7" spans="1:15" x14ac:dyDescent="0.3">
      <c r="A7" s="990"/>
      <c r="B7" s="990"/>
      <c r="C7" s="990"/>
      <c r="D7" s="989" t="s">
        <v>258</v>
      </c>
      <c r="E7" s="989"/>
      <c r="F7" s="989"/>
      <c r="G7" s="989"/>
      <c r="H7" s="989"/>
      <c r="I7" s="989"/>
      <c r="J7" s="30"/>
      <c r="K7" s="30"/>
      <c r="L7" s="30"/>
      <c r="M7" s="30"/>
      <c r="N7" s="30"/>
      <c r="O7" s="32">
        <v>45264.482613275461</v>
      </c>
    </row>
    <row r="8" spans="1:15" x14ac:dyDescent="0.3">
      <c r="A8" s="988" t="s">
        <v>259</v>
      </c>
      <c r="B8" s="988"/>
      <c r="C8" s="988"/>
      <c r="D8" s="988"/>
      <c r="E8" s="988"/>
      <c r="F8" s="988"/>
      <c r="G8" s="988"/>
      <c r="H8" s="988"/>
      <c r="I8" s="988"/>
      <c r="J8" s="988"/>
      <c r="K8" s="988"/>
      <c r="L8" s="988"/>
      <c r="M8" s="988"/>
      <c r="N8" s="988"/>
      <c r="O8" s="988"/>
    </row>
    <row r="9" spans="1:15" ht="27.6" x14ac:dyDescent="0.3">
      <c r="A9" s="33" t="s">
        <v>260</v>
      </c>
      <c r="B9" s="33" t="s">
        <v>261</v>
      </c>
      <c r="C9" s="33" t="s">
        <v>262</v>
      </c>
      <c r="D9" s="33" t="s">
        <v>237</v>
      </c>
      <c r="E9" s="33" t="s">
        <v>263</v>
      </c>
      <c r="F9" s="33" t="s">
        <v>264</v>
      </c>
      <c r="G9" s="33" t="s">
        <v>265</v>
      </c>
      <c r="H9" s="33" t="s">
        <v>266</v>
      </c>
      <c r="I9" s="33" t="s">
        <v>267</v>
      </c>
      <c r="J9" s="33" t="s">
        <v>264</v>
      </c>
      <c r="K9" s="33" t="s">
        <v>268</v>
      </c>
      <c r="L9" s="33" t="s">
        <v>269</v>
      </c>
      <c r="M9" s="33" t="s">
        <v>270</v>
      </c>
      <c r="N9" s="33" t="s">
        <v>271</v>
      </c>
      <c r="O9" s="34" t="s">
        <v>272</v>
      </c>
    </row>
    <row r="10" spans="1:15" x14ac:dyDescent="0.3">
      <c r="A10" s="35" t="s">
        <v>234</v>
      </c>
      <c r="B10" s="36">
        <v>1</v>
      </c>
      <c r="C10" s="35" t="s">
        <v>273</v>
      </c>
      <c r="D10" s="35" t="s">
        <v>274</v>
      </c>
      <c r="E10" s="35">
        <v>1</v>
      </c>
      <c r="F10" s="37">
        <v>20000</v>
      </c>
      <c r="G10" s="37">
        <v>20000</v>
      </c>
      <c r="H10" s="35" t="s">
        <v>275</v>
      </c>
      <c r="I10" s="37">
        <v>9900</v>
      </c>
      <c r="J10" s="37">
        <v>9900</v>
      </c>
      <c r="K10" s="37" t="s">
        <v>276</v>
      </c>
      <c r="L10" s="38" t="s">
        <v>277</v>
      </c>
      <c r="M10" s="38" t="s">
        <v>277</v>
      </c>
      <c r="N10" s="37">
        <v>0</v>
      </c>
      <c r="O10" s="39" t="s">
        <v>251</v>
      </c>
    </row>
    <row r="11" spans="1:15" x14ac:dyDescent="0.3">
      <c r="A11" s="40" t="s">
        <v>234</v>
      </c>
      <c r="B11" s="41">
        <v>2</v>
      </c>
      <c r="C11" s="40" t="s">
        <v>278</v>
      </c>
      <c r="D11" s="40" t="s">
        <v>279</v>
      </c>
      <c r="E11" s="40">
        <v>1</v>
      </c>
      <c r="F11" s="42">
        <v>11500</v>
      </c>
      <c r="G11" s="42">
        <v>11500</v>
      </c>
      <c r="H11" s="40" t="s">
        <v>275</v>
      </c>
      <c r="I11" s="42">
        <v>7400</v>
      </c>
      <c r="J11" s="42">
        <v>7400</v>
      </c>
      <c r="K11" s="42" t="s">
        <v>276</v>
      </c>
      <c r="L11" s="43" t="s">
        <v>277</v>
      </c>
      <c r="M11" s="43" t="s">
        <v>277</v>
      </c>
      <c r="N11" s="42">
        <v>0</v>
      </c>
      <c r="O11" s="44" t="s">
        <v>251</v>
      </c>
    </row>
    <row r="12" spans="1:15" x14ac:dyDescent="0.3">
      <c r="A12" s="35" t="s">
        <v>280</v>
      </c>
      <c r="B12" s="36">
        <v>3</v>
      </c>
      <c r="C12" s="35" t="s">
        <v>281</v>
      </c>
      <c r="D12" s="35" t="s">
        <v>282</v>
      </c>
      <c r="E12" s="35">
        <v>1</v>
      </c>
      <c r="F12" s="37">
        <v>1000</v>
      </c>
      <c r="G12" s="37">
        <v>1000</v>
      </c>
      <c r="H12" s="35" t="s">
        <v>275</v>
      </c>
      <c r="I12" s="37">
        <v>900</v>
      </c>
      <c r="J12" s="37">
        <v>900</v>
      </c>
      <c r="K12" s="37" t="s">
        <v>276</v>
      </c>
      <c r="L12" s="38" t="s">
        <v>283</v>
      </c>
      <c r="M12" s="38" t="s">
        <v>277</v>
      </c>
      <c r="N12" s="37">
        <v>0</v>
      </c>
      <c r="O12" s="39" t="s">
        <v>284</v>
      </c>
    </row>
    <row r="13" spans="1:15" x14ac:dyDescent="0.3">
      <c r="A13" s="40" t="s">
        <v>280</v>
      </c>
      <c r="B13" s="41">
        <v>4</v>
      </c>
      <c r="C13" s="40" t="s">
        <v>285</v>
      </c>
      <c r="D13" s="40" t="s">
        <v>286</v>
      </c>
      <c r="E13" s="40">
        <v>1</v>
      </c>
      <c r="F13" s="42">
        <v>2000</v>
      </c>
      <c r="G13" s="42">
        <v>2000</v>
      </c>
      <c r="H13" s="40" t="s">
        <v>275</v>
      </c>
      <c r="I13" s="42">
        <v>500</v>
      </c>
      <c r="J13" s="42">
        <v>500</v>
      </c>
      <c r="K13" s="42" t="s">
        <v>276</v>
      </c>
      <c r="L13" s="43" t="s">
        <v>283</v>
      </c>
      <c r="M13" s="43" t="s">
        <v>277</v>
      </c>
      <c r="N13" s="42">
        <v>0</v>
      </c>
      <c r="O13" s="44" t="s">
        <v>287</v>
      </c>
    </row>
    <row r="14" spans="1:15" x14ac:dyDescent="0.3">
      <c r="A14" s="35" t="s">
        <v>280</v>
      </c>
      <c r="B14" s="36">
        <v>5</v>
      </c>
      <c r="C14" s="35" t="s">
        <v>288</v>
      </c>
      <c r="D14" s="35" t="s">
        <v>289</v>
      </c>
      <c r="E14" s="35">
        <v>1</v>
      </c>
      <c r="F14" s="37">
        <v>4000</v>
      </c>
      <c r="G14" s="37">
        <v>4000</v>
      </c>
      <c r="H14" s="35" t="s">
        <v>275</v>
      </c>
      <c r="I14" s="37">
        <v>2000</v>
      </c>
      <c r="J14" s="37">
        <v>2000</v>
      </c>
      <c r="K14" s="37" t="s">
        <v>276</v>
      </c>
      <c r="L14" s="38" t="s">
        <v>283</v>
      </c>
      <c r="M14" s="38" t="s">
        <v>277</v>
      </c>
      <c r="N14" s="37">
        <v>0</v>
      </c>
      <c r="O14" s="39" t="s">
        <v>290</v>
      </c>
    </row>
    <row r="15" spans="1:15" x14ac:dyDescent="0.3">
      <c r="A15" s="40" t="s">
        <v>291</v>
      </c>
      <c r="B15" s="41">
        <v>6</v>
      </c>
      <c r="C15" s="40" t="s">
        <v>292</v>
      </c>
      <c r="D15" s="40" t="s">
        <v>293</v>
      </c>
      <c r="E15" s="40">
        <v>1</v>
      </c>
      <c r="F15" s="42">
        <v>0</v>
      </c>
      <c r="G15" s="42">
        <v>0</v>
      </c>
      <c r="H15" s="40" t="s">
        <v>275</v>
      </c>
      <c r="I15" s="42">
        <v>1000</v>
      </c>
      <c r="J15" s="42">
        <v>1000</v>
      </c>
      <c r="K15" s="42" t="s">
        <v>276</v>
      </c>
      <c r="L15" s="43" t="s">
        <v>283</v>
      </c>
      <c r="M15" s="43" t="s">
        <v>277</v>
      </c>
      <c r="N15" s="42">
        <v>0</v>
      </c>
      <c r="O15" s="44" t="s">
        <v>251</v>
      </c>
    </row>
    <row r="16" spans="1:15" x14ac:dyDescent="0.3">
      <c r="A16" s="35" t="s">
        <v>280</v>
      </c>
      <c r="B16" s="36">
        <v>7</v>
      </c>
      <c r="C16" s="35" t="s">
        <v>294</v>
      </c>
      <c r="D16" s="35" t="s">
        <v>295</v>
      </c>
      <c r="E16" s="35">
        <v>1</v>
      </c>
      <c r="F16" s="37">
        <v>2000</v>
      </c>
      <c r="G16" s="37">
        <v>2000</v>
      </c>
      <c r="H16" s="35" t="s">
        <v>275</v>
      </c>
      <c r="I16" s="37">
        <v>1000</v>
      </c>
      <c r="J16" s="37">
        <v>1000</v>
      </c>
      <c r="K16" s="37" t="s">
        <v>276</v>
      </c>
      <c r="L16" s="38" t="s">
        <v>283</v>
      </c>
      <c r="M16" s="38" t="s">
        <v>277</v>
      </c>
      <c r="N16" s="37">
        <v>0</v>
      </c>
      <c r="O16" s="39" t="s">
        <v>296</v>
      </c>
    </row>
    <row r="17" spans="1:15" x14ac:dyDescent="0.3">
      <c r="A17" s="40" t="s">
        <v>291</v>
      </c>
      <c r="B17" s="41">
        <v>14</v>
      </c>
      <c r="C17" s="40" t="s">
        <v>297</v>
      </c>
      <c r="D17" s="40" t="s">
        <v>298</v>
      </c>
      <c r="E17" s="40">
        <v>1</v>
      </c>
      <c r="F17" s="42">
        <v>2500</v>
      </c>
      <c r="G17" s="42">
        <v>2500</v>
      </c>
      <c r="H17" s="40" t="s">
        <v>275</v>
      </c>
      <c r="I17" s="42">
        <v>2000</v>
      </c>
      <c r="J17" s="42">
        <v>2000</v>
      </c>
      <c r="K17" s="42" t="s">
        <v>299</v>
      </c>
      <c r="L17" s="43" t="s">
        <v>300</v>
      </c>
      <c r="M17" s="43" t="s">
        <v>277</v>
      </c>
      <c r="N17" s="42">
        <v>0</v>
      </c>
      <c r="O17" s="44" t="s">
        <v>251</v>
      </c>
    </row>
    <row r="18" spans="1:15" x14ac:dyDescent="0.3">
      <c r="A18" s="35" t="s">
        <v>234</v>
      </c>
      <c r="B18" s="36">
        <v>8</v>
      </c>
      <c r="C18" s="35" t="s">
        <v>301</v>
      </c>
      <c r="D18" s="35" t="s">
        <v>302</v>
      </c>
      <c r="E18" s="35">
        <v>1</v>
      </c>
      <c r="F18" s="37">
        <v>8500</v>
      </c>
      <c r="G18" s="37">
        <v>8500</v>
      </c>
      <c r="H18" s="35" t="s">
        <v>275</v>
      </c>
      <c r="I18" s="37">
        <v>2500</v>
      </c>
      <c r="J18" s="37">
        <v>2500</v>
      </c>
      <c r="K18" s="37" t="s">
        <v>276</v>
      </c>
      <c r="L18" s="38" t="s">
        <v>277</v>
      </c>
      <c r="M18" s="38" t="s">
        <v>277</v>
      </c>
      <c r="N18" s="37">
        <v>0</v>
      </c>
      <c r="O18" s="39" t="s">
        <v>251</v>
      </c>
    </row>
    <row r="19" spans="1:15" ht="72" x14ac:dyDescent="0.3">
      <c r="A19" s="40" t="s">
        <v>280</v>
      </c>
      <c r="B19" s="41">
        <v>9</v>
      </c>
      <c r="C19" s="40" t="s">
        <v>303</v>
      </c>
      <c r="D19" s="40" t="s">
        <v>304</v>
      </c>
      <c r="E19" s="40">
        <v>2</v>
      </c>
      <c r="F19" s="42">
        <v>2000</v>
      </c>
      <c r="G19" s="42">
        <v>4000</v>
      </c>
      <c r="H19" s="40" t="s">
        <v>275</v>
      </c>
      <c r="I19" s="42">
        <v>1000</v>
      </c>
      <c r="J19" s="42">
        <v>500</v>
      </c>
      <c r="K19" s="42" t="s">
        <v>276</v>
      </c>
      <c r="L19" s="43" t="s">
        <v>283</v>
      </c>
      <c r="M19" s="43" t="s">
        <v>277</v>
      </c>
      <c r="N19" s="42">
        <v>0</v>
      </c>
      <c r="O19" s="45" t="s">
        <v>305</v>
      </c>
    </row>
    <row r="20" spans="1:15" ht="28.8" x14ac:dyDescent="0.3">
      <c r="A20" s="35" t="s">
        <v>280</v>
      </c>
      <c r="B20" s="36">
        <v>10</v>
      </c>
      <c r="C20" s="35" t="s">
        <v>306</v>
      </c>
      <c r="D20" s="35" t="s">
        <v>307</v>
      </c>
      <c r="E20" s="35">
        <v>3</v>
      </c>
      <c r="F20" s="37">
        <v>1500</v>
      </c>
      <c r="G20" s="37">
        <v>4500</v>
      </c>
      <c r="H20" s="35" t="s">
        <v>275</v>
      </c>
      <c r="I20" s="37">
        <v>1500</v>
      </c>
      <c r="J20" s="37">
        <v>500</v>
      </c>
      <c r="K20" s="37" t="s">
        <v>276</v>
      </c>
      <c r="L20" s="38" t="s">
        <v>283</v>
      </c>
      <c r="M20" s="38" t="s">
        <v>277</v>
      </c>
      <c r="N20" s="37">
        <v>0</v>
      </c>
      <c r="O20" s="46" t="s">
        <v>308</v>
      </c>
    </row>
    <row r="21" spans="1:15" x14ac:dyDescent="0.3">
      <c r="A21" s="40" t="s">
        <v>234</v>
      </c>
      <c r="B21" s="41">
        <v>11</v>
      </c>
      <c r="C21" s="40" t="s">
        <v>309</v>
      </c>
      <c r="D21" s="40" t="s">
        <v>310</v>
      </c>
      <c r="E21" s="40">
        <v>1</v>
      </c>
      <c r="F21" s="42">
        <v>7000</v>
      </c>
      <c r="G21" s="42">
        <v>7000</v>
      </c>
      <c r="H21" s="40" t="s">
        <v>275</v>
      </c>
      <c r="I21" s="42">
        <v>300</v>
      </c>
      <c r="J21" s="42">
        <v>300</v>
      </c>
      <c r="K21" s="42" t="s">
        <v>276</v>
      </c>
      <c r="L21" s="43" t="s">
        <v>277</v>
      </c>
      <c r="M21" s="43" t="s">
        <v>277</v>
      </c>
      <c r="N21" s="42">
        <v>0</v>
      </c>
      <c r="O21" s="44" t="s">
        <v>251</v>
      </c>
    </row>
    <row r="22" spans="1:15" x14ac:dyDescent="0.3">
      <c r="A22" s="35" t="s">
        <v>234</v>
      </c>
      <c r="B22" s="36">
        <v>12</v>
      </c>
      <c r="C22" s="35" t="s">
        <v>311</v>
      </c>
      <c r="D22" s="35" t="s">
        <v>312</v>
      </c>
      <c r="E22" s="35">
        <v>1</v>
      </c>
      <c r="F22" s="37">
        <v>7000</v>
      </c>
      <c r="G22" s="37">
        <v>7000</v>
      </c>
      <c r="H22" s="35" t="s">
        <v>275</v>
      </c>
      <c r="I22" s="37">
        <v>300</v>
      </c>
      <c r="J22" s="37">
        <v>300</v>
      </c>
      <c r="K22" s="37" t="s">
        <v>276</v>
      </c>
      <c r="L22" s="38" t="s">
        <v>277</v>
      </c>
      <c r="M22" s="38" t="s">
        <v>277</v>
      </c>
      <c r="N22" s="37">
        <v>0</v>
      </c>
      <c r="O22" s="39" t="s">
        <v>251</v>
      </c>
    </row>
    <row r="23" spans="1:15" x14ac:dyDescent="0.3">
      <c r="A23" s="40" t="s">
        <v>280</v>
      </c>
      <c r="B23" s="41">
        <v>13</v>
      </c>
      <c r="C23" s="40" t="s">
        <v>313</v>
      </c>
      <c r="D23" s="40" t="s">
        <v>314</v>
      </c>
      <c r="E23" s="40">
        <v>1</v>
      </c>
      <c r="F23" s="42">
        <v>5000</v>
      </c>
      <c r="G23" s="42">
        <v>5000</v>
      </c>
      <c r="H23" s="40" t="s">
        <v>275</v>
      </c>
      <c r="I23" s="42">
        <v>200</v>
      </c>
      <c r="J23" s="42">
        <v>200</v>
      </c>
      <c r="K23" s="42" t="s">
        <v>276</v>
      </c>
      <c r="L23" s="43" t="s">
        <v>283</v>
      </c>
      <c r="M23" s="43" t="s">
        <v>277</v>
      </c>
      <c r="N23" s="42">
        <v>0</v>
      </c>
      <c r="O23" s="44" t="s">
        <v>251</v>
      </c>
    </row>
    <row r="24" spans="1:15" x14ac:dyDescent="0.3">
      <c r="A24" s="35" t="s">
        <v>280</v>
      </c>
      <c r="B24" s="36">
        <v>15</v>
      </c>
      <c r="C24" s="35" t="s">
        <v>315</v>
      </c>
      <c r="D24" s="35" t="s">
        <v>298</v>
      </c>
      <c r="E24" s="35">
        <v>1</v>
      </c>
      <c r="F24" s="37">
        <v>2000</v>
      </c>
      <c r="G24" s="37">
        <v>2000</v>
      </c>
      <c r="H24" s="35" t="s">
        <v>275</v>
      </c>
      <c r="I24" s="37">
        <v>100</v>
      </c>
      <c r="J24" s="37">
        <v>100</v>
      </c>
      <c r="K24" s="37" t="s">
        <v>276</v>
      </c>
      <c r="L24" s="38" t="s">
        <v>283</v>
      </c>
      <c r="M24" s="38" t="s">
        <v>277</v>
      </c>
      <c r="N24" s="37">
        <v>0</v>
      </c>
      <c r="O24" s="39" t="s">
        <v>251</v>
      </c>
    </row>
    <row r="25" spans="1:15" x14ac:dyDescent="0.3">
      <c r="A25" s="40"/>
      <c r="B25" s="41"/>
      <c r="C25" s="40"/>
      <c r="D25" s="40"/>
      <c r="E25" s="40"/>
      <c r="F25" s="42"/>
      <c r="G25" s="42"/>
      <c r="H25" s="40"/>
      <c r="I25" s="42"/>
      <c r="J25" s="42"/>
      <c r="K25" s="42"/>
      <c r="L25" s="43"/>
      <c r="M25" s="43"/>
      <c r="N25" s="42"/>
      <c r="O25" s="44"/>
    </row>
    <row r="26" spans="1:15" x14ac:dyDescent="0.3">
      <c r="A26" s="35" t="s">
        <v>316</v>
      </c>
      <c r="B26" s="36"/>
      <c r="C26" s="35"/>
      <c r="D26" s="35"/>
      <c r="E26" s="35"/>
      <c r="F26" s="37"/>
      <c r="G26" s="37"/>
      <c r="H26" s="35"/>
      <c r="I26" s="37"/>
      <c r="J26" s="37"/>
      <c r="K26" s="37"/>
      <c r="L26" s="38"/>
      <c r="M26" s="38"/>
      <c r="N26" s="37"/>
      <c r="O26" s="39"/>
    </row>
    <row r="27" spans="1:15" x14ac:dyDescent="0.3">
      <c r="A27" s="40" t="s">
        <v>317</v>
      </c>
      <c r="B27" s="41"/>
      <c r="C27" s="40"/>
      <c r="D27" s="40"/>
      <c r="E27" s="40"/>
      <c r="F27" s="42"/>
      <c r="G27" s="42"/>
      <c r="H27" s="40"/>
      <c r="I27" s="42"/>
      <c r="J27" s="42"/>
      <c r="K27" s="42"/>
      <c r="L27" s="43"/>
      <c r="M27" s="43"/>
      <c r="N27" s="42"/>
      <c r="O27" s="44"/>
    </row>
    <row r="28" spans="1:15" x14ac:dyDescent="0.3">
      <c r="A28" s="47" t="s">
        <v>318</v>
      </c>
      <c r="B28" s="48"/>
      <c r="C28" s="47"/>
      <c r="D28" s="47"/>
      <c r="E28" s="47"/>
      <c r="F28" s="49"/>
      <c r="G28" s="49"/>
      <c r="H28" s="47"/>
      <c r="I28" s="49"/>
      <c r="J28" s="49"/>
      <c r="K28" s="49"/>
      <c r="L28" s="50"/>
      <c r="M28" s="50"/>
      <c r="N28" s="49"/>
      <c r="O28" s="51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554687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1027" t="s">
        <v>14</v>
      </c>
      <c r="C2" s="1028"/>
      <c r="D2" s="1028"/>
      <c r="E2" s="1028"/>
      <c r="F2" s="1028"/>
      <c r="G2" s="1028"/>
      <c r="H2" s="1028"/>
      <c r="I2" s="1028"/>
      <c r="J2" s="1028"/>
      <c r="K2" s="1028"/>
      <c r="L2" s="1029"/>
    </row>
    <row r="3" spans="2:12" ht="47.55" customHeight="1" thickBot="1" x14ac:dyDescent="0.35">
      <c r="B3" s="1030" t="s">
        <v>319</v>
      </c>
      <c r="C3" s="1031"/>
      <c r="D3" s="1031"/>
      <c r="E3" s="1031"/>
      <c r="F3" s="1031"/>
      <c r="G3" s="1031"/>
      <c r="H3" s="1031"/>
      <c r="I3" s="1031"/>
      <c r="J3" s="1031"/>
      <c r="K3" s="1031"/>
      <c r="L3" s="1032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214"/>
    </row>
    <row r="6" spans="2:12" x14ac:dyDescent="0.3">
      <c r="B6" s="3"/>
      <c r="C6" s="999" t="s">
        <v>320</v>
      </c>
      <c r="D6" s="999"/>
      <c r="E6" s="999"/>
      <c r="F6" s="999"/>
      <c r="G6" s="999"/>
      <c r="H6" s="999"/>
      <c r="I6" s="999"/>
      <c r="J6" s="999"/>
      <c r="K6" s="999"/>
      <c r="L6" s="212"/>
    </row>
    <row r="7" spans="2:12" ht="6" customHeight="1" x14ac:dyDescent="0.3">
      <c r="B7" s="3"/>
      <c r="L7" s="212"/>
    </row>
    <row r="8" spans="2:12" x14ac:dyDescent="0.3">
      <c r="B8" s="3"/>
      <c r="C8" s="4" t="s">
        <v>321</v>
      </c>
      <c r="D8" s="1033" t="s">
        <v>322</v>
      </c>
      <c r="E8" s="1034"/>
      <c r="F8" s="1034"/>
      <c r="G8" s="1034"/>
      <c r="H8" s="1034"/>
      <c r="I8" s="1034"/>
      <c r="J8" s="1034"/>
      <c r="K8" s="1035"/>
      <c r="L8" s="212"/>
    </row>
    <row r="9" spans="2:12" x14ac:dyDescent="0.3">
      <c r="B9" s="3"/>
      <c r="C9" s="5" t="s">
        <v>323</v>
      </c>
      <c r="D9" s="1020" t="s">
        <v>324</v>
      </c>
      <c r="E9" s="1021"/>
      <c r="F9" s="1021"/>
      <c r="G9" s="1021"/>
      <c r="H9" s="1021"/>
      <c r="I9" s="1021"/>
      <c r="J9" s="1021"/>
      <c r="K9" s="1022"/>
      <c r="L9" s="212"/>
    </row>
    <row r="10" spans="2:12" x14ac:dyDescent="0.3">
      <c r="B10" s="3"/>
      <c r="C10" s="5" t="s">
        <v>325</v>
      </c>
      <c r="D10" s="1020" t="s">
        <v>326</v>
      </c>
      <c r="E10" s="1021"/>
      <c r="F10" s="1021"/>
      <c r="G10" s="1021"/>
      <c r="H10" s="1021"/>
      <c r="I10" s="1021"/>
      <c r="J10" s="1021"/>
      <c r="K10" s="1022"/>
      <c r="L10" s="212"/>
    </row>
    <row r="11" spans="2:12" x14ac:dyDescent="0.3">
      <c r="B11" s="3"/>
      <c r="C11" s="5" t="s">
        <v>327</v>
      </c>
      <c r="D11" s="1020" t="s">
        <v>328</v>
      </c>
      <c r="E11" s="1021"/>
      <c r="F11" s="1021"/>
      <c r="G11" s="1021"/>
      <c r="H11" s="1021"/>
      <c r="I11" s="1021"/>
      <c r="J11" s="1021"/>
      <c r="K11" s="1022"/>
      <c r="L11" s="212"/>
    </row>
    <row r="12" spans="2:12" x14ac:dyDescent="0.3">
      <c r="B12" s="3"/>
      <c r="C12" s="8" t="s">
        <v>329</v>
      </c>
      <c r="D12" s="1017" t="s">
        <v>330</v>
      </c>
      <c r="E12" s="1018"/>
      <c r="F12" s="1018"/>
      <c r="G12" s="1018"/>
      <c r="H12" s="1019"/>
      <c r="I12" s="9" t="s">
        <v>331</v>
      </c>
      <c r="J12" s="1017" t="s">
        <v>332</v>
      </c>
      <c r="K12" s="1019"/>
      <c r="L12" s="212"/>
    </row>
    <row r="13" spans="2:12" ht="6" customHeight="1" thickBot="1" x14ac:dyDescent="0.3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213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214"/>
    </row>
    <row r="16" spans="2:12" x14ac:dyDescent="0.3">
      <c r="B16" s="3"/>
      <c r="C16" s="999" t="s">
        <v>333</v>
      </c>
      <c r="D16" s="999"/>
      <c r="E16" s="999"/>
      <c r="F16" s="999"/>
      <c r="G16" s="999"/>
      <c r="H16" s="999"/>
      <c r="I16" s="999"/>
      <c r="J16" s="999"/>
      <c r="K16" s="999"/>
      <c r="L16" s="212"/>
    </row>
    <row r="17" spans="2:12" ht="9" customHeight="1" x14ac:dyDescent="0.3">
      <c r="B17" s="3"/>
      <c r="L17" s="212"/>
    </row>
    <row r="18" spans="2:12" x14ac:dyDescent="0.3">
      <c r="B18" s="3"/>
      <c r="C18" s="4"/>
      <c r="D18" s="1023" t="s">
        <v>334</v>
      </c>
      <c r="E18" s="1023"/>
      <c r="F18" s="1023"/>
      <c r="G18" s="1014"/>
      <c r="H18" s="1023" t="s">
        <v>335</v>
      </c>
      <c r="I18" s="1023"/>
      <c r="J18" s="1023"/>
      <c r="K18" s="1014"/>
      <c r="L18" s="212"/>
    </row>
    <row r="19" spans="2:12" x14ac:dyDescent="0.3">
      <c r="B19" s="3"/>
      <c r="C19" s="12" t="s">
        <v>336</v>
      </c>
      <c r="D19" s="1024" t="s">
        <v>337</v>
      </c>
      <c r="E19" s="1025"/>
      <c r="F19" s="1025"/>
      <c r="G19" s="1025"/>
      <c r="H19" s="1025"/>
      <c r="I19" s="1025"/>
      <c r="J19" s="1025"/>
      <c r="K19" s="1026"/>
      <c r="L19" s="212"/>
    </row>
    <row r="20" spans="2:12" x14ac:dyDescent="0.3">
      <c r="B20" s="3"/>
      <c r="C20" s="5" t="s">
        <v>338</v>
      </c>
      <c r="D20" s="1020"/>
      <c r="E20" s="1021"/>
      <c r="F20" s="1021"/>
      <c r="G20" s="1021"/>
      <c r="H20" s="1021"/>
      <c r="I20" s="1021"/>
      <c r="J20" s="1021"/>
      <c r="K20" s="1022"/>
      <c r="L20" s="212"/>
    </row>
    <row r="21" spans="2:12" x14ac:dyDescent="0.3">
      <c r="B21" s="3"/>
      <c r="C21" s="5" t="s">
        <v>339</v>
      </c>
      <c r="D21" s="1020" t="s">
        <v>251</v>
      </c>
      <c r="E21" s="1022"/>
      <c r="F21" s="5" t="s">
        <v>340</v>
      </c>
      <c r="G21" s="13" t="s">
        <v>251</v>
      </c>
      <c r="H21" s="5" t="s">
        <v>341</v>
      </c>
      <c r="I21" s="6" t="s">
        <v>251</v>
      </c>
      <c r="J21" s="5" t="s">
        <v>342</v>
      </c>
      <c r="K21" s="7" t="s">
        <v>251</v>
      </c>
      <c r="L21" s="212"/>
    </row>
    <row r="22" spans="2:12" x14ac:dyDescent="0.3">
      <c r="B22" s="3"/>
      <c r="C22" s="5" t="s">
        <v>343</v>
      </c>
      <c r="D22" s="1020" t="s">
        <v>344</v>
      </c>
      <c r="E22" s="1021"/>
      <c r="F22" s="1021"/>
      <c r="G22" s="1022"/>
      <c r="H22" s="5" t="s">
        <v>345</v>
      </c>
      <c r="I22" s="1020"/>
      <c r="J22" s="1021"/>
      <c r="K22" s="1022"/>
      <c r="L22" s="212"/>
    </row>
    <row r="23" spans="2:12" x14ac:dyDescent="0.3">
      <c r="B23" s="3"/>
      <c r="C23" s="8" t="s">
        <v>346</v>
      </c>
      <c r="D23" s="1017" t="s">
        <v>347</v>
      </c>
      <c r="E23" s="1018"/>
      <c r="F23" s="1018"/>
      <c r="G23" s="1019"/>
      <c r="H23" s="8" t="s">
        <v>348</v>
      </c>
      <c r="I23" s="1017" t="s">
        <v>251</v>
      </c>
      <c r="J23" s="1018"/>
      <c r="K23" s="1019"/>
      <c r="L23" s="212"/>
    </row>
    <row r="24" spans="2:12" ht="6.6" customHeight="1" thickBot="1" x14ac:dyDescent="0.3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213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214"/>
    </row>
    <row r="27" spans="2:12" x14ac:dyDescent="0.3">
      <c r="B27" s="3"/>
      <c r="C27" s="999" t="s">
        <v>333</v>
      </c>
      <c r="D27" s="999"/>
      <c r="E27" s="999"/>
      <c r="F27" s="999"/>
      <c r="G27" s="999"/>
      <c r="H27" s="999"/>
      <c r="I27" s="999"/>
      <c r="J27" s="999"/>
      <c r="K27" s="999"/>
      <c r="L27" s="212"/>
    </row>
    <row r="28" spans="2:12" x14ac:dyDescent="0.3">
      <c r="B28" s="3"/>
      <c r="L28" s="212"/>
    </row>
    <row r="29" spans="2:12" x14ac:dyDescent="0.3">
      <c r="B29" s="3"/>
      <c r="C29" s="4" t="s">
        <v>349</v>
      </c>
      <c r="D29" s="1013" t="s">
        <v>43</v>
      </c>
      <c r="E29" s="1014"/>
      <c r="F29" s="1013" t="s">
        <v>265</v>
      </c>
      <c r="G29" s="1014"/>
      <c r="H29" s="1015" t="s">
        <v>350</v>
      </c>
      <c r="I29" s="1015"/>
      <c r="J29" s="1015"/>
      <c r="K29" s="1016"/>
      <c r="L29" s="212"/>
    </row>
    <row r="30" spans="2:12" x14ac:dyDescent="0.3">
      <c r="B30" s="3"/>
      <c r="C30" s="14" t="s">
        <v>351</v>
      </c>
      <c r="D30" s="1000" t="s">
        <v>352</v>
      </c>
      <c r="E30" s="1001"/>
      <c r="F30" s="1002" t="s">
        <v>353</v>
      </c>
      <c r="G30" s="1003"/>
      <c r="H30" s="15" t="s">
        <v>354</v>
      </c>
      <c r="I30" s="1013" t="s">
        <v>355</v>
      </c>
      <c r="J30" s="1014"/>
      <c r="K30" s="4" t="s">
        <v>356</v>
      </c>
      <c r="L30" s="212"/>
    </row>
    <row r="31" spans="2:12" x14ac:dyDescent="0.3">
      <c r="B31" s="3"/>
      <c r="C31" s="14" t="s">
        <v>357</v>
      </c>
      <c r="D31" s="1000" t="s">
        <v>251</v>
      </c>
      <c r="E31" s="1001"/>
      <c r="F31" s="1002" t="s">
        <v>251</v>
      </c>
      <c r="G31" s="1003"/>
      <c r="H31" s="14" t="s">
        <v>354</v>
      </c>
      <c r="I31" s="1004" t="s">
        <v>358</v>
      </c>
      <c r="J31" s="1005"/>
      <c r="K31" s="5" t="s">
        <v>356</v>
      </c>
      <c r="L31" s="212"/>
    </row>
    <row r="32" spans="2:12" x14ac:dyDescent="0.3">
      <c r="B32" s="3"/>
      <c r="C32" s="14" t="s">
        <v>359</v>
      </c>
      <c r="D32" s="1000" t="s">
        <v>251</v>
      </c>
      <c r="E32" s="1001"/>
      <c r="F32" s="1002" t="s">
        <v>251</v>
      </c>
      <c r="G32" s="1003"/>
      <c r="H32" s="14" t="s">
        <v>354</v>
      </c>
      <c r="I32" s="1004" t="s">
        <v>358</v>
      </c>
      <c r="J32" s="1005"/>
      <c r="K32" s="5" t="s">
        <v>356</v>
      </c>
      <c r="L32" s="212"/>
    </row>
    <row r="33" spans="2:12" x14ac:dyDescent="0.3">
      <c r="B33" s="3"/>
      <c r="C33" s="16" t="s">
        <v>360</v>
      </c>
      <c r="D33" s="1000" t="s">
        <v>251</v>
      </c>
      <c r="E33" s="1001"/>
      <c r="F33" s="1006" t="s">
        <v>251</v>
      </c>
      <c r="G33" s="1007"/>
      <c r="H33" s="14" t="s">
        <v>354</v>
      </c>
      <c r="I33" s="1004" t="s">
        <v>358</v>
      </c>
      <c r="J33" s="1005"/>
      <c r="K33" s="5" t="s">
        <v>356</v>
      </c>
      <c r="L33" s="212"/>
    </row>
    <row r="34" spans="2:12" x14ac:dyDescent="0.3">
      <c r="B34" s="3"/>
      <c r="C34" s="1008" t="s">
        <v>81</v>
      </c>
      <c r="D34" s="1009"/>
      <c r="E34" s="1010"/>
      <c r="F34" s="1011" t="s">
        <v>353</v>
      </c>
      <c r="G34" s="1012"/>
      <c r="H34" s="17"/>
      <c r="I34" s="18"/>
      <c r="J34" s="19"/>
      <c r="K34" s="17"/>
      <c r="L34" s="212"/>
    </row>
    <row r="35" spans="2:12" ht="15" thickBot="1" x14ac:dyDescent="0.35"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213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214"/>
    </row>
    <row r="38" spans="2:12" x14ac:dyDescent="0.3">
      <c r="B38" s="3"/>
      <c r="C38" s="999" t="s">
        <v>361</v>
      </c>
      <c r="D38" s="999"/>
      <c r="E38" s="999"/>
      <c r="F38" s="999"/>
      <c r="G38" s="999"/>
      <c r="H38" s="999"/>
      <c r="I38" s="999"/>
      <c r="J38" s="999"/>
      <c r="K38" s="999"/>
      <c r="L38" s="212"/>
    </row>
    <row r="39" spans="2:12" x14ac:dyDescent="0.3">
      <c r="B39" s="3"/>
      <c r="C39" s="997" t="s">
        <v>362</v>
      </c>
      <c r="D39" s="997"/>
      <c r="E39" s="997"/>
      <c r="F39" s="997"/>
      <c r="G39" s="997"/>
      <c r="H39" s="997"/>
      <c r="I39" s="997"/>
      <c r="J39" s="997"/>
      <c r="K39" s="997"/>
      <c r="L39" s="212"/>
    </row>
    <row r="40" spans="2:12" x14ac:dyDescent="0.3">
      <c r="B40" s="3"/>
      <c r="C40" s="997"/>
      <c r="D40" s="997"/>
      <c r="E40" s="997"/>
      <c r="F40" s="997"/>
      <c r="G40" s="997"/>
      <c r="H40" s="997"/>
      <c r="I40" s="997"/>
      <c r="J40" s="997"/>
      <c r="K40" s="997"/>
      <c r="L40" s="212"/>
    </row>
    <row r="41" spans="2:12" x14ac:dyDescent="0.3">
      <c r="B41" s="3"/>
      <c r="C41" s="997"/>
      <c r="D41" s="997"/>
      <c r="E41" s="997"/>
      <c r="F41" s="997"/>
      <c r="G41" s="997"/>
      <c r="H41" s="997"/>
      <c r="I41" s="997"/>
      <c r="J41" s="997"/>
      <c r="K41" s="997"/>
      <c r="L41" s="212"/>
    </row>
    <row r="42" spans="2:12" x14ac:dyDescent="0.3">
      <c r="B42" s="3"/>
      <c r="C42" s="997"/>
      <c r="D42" s="997"/>
      <c r="E42" s="997"/>
      <c r="F42" s="997"/>
      <c r="G42" s="997"/>
      <c r="H42" s="997"/>
      <c r="I42" s="997"/>
      <c r="J42" s="997"/>
      <c r="K42" s="997"/>
      <c r="L42" s="212"/>
    </row>
    <row r="43" spans="2:12" x14ac:dyDescent="0.3">
      <c r="B43" s="3"/>
      <c r="C43" s="997"/>
      <c r="D43" s="997"/>
      <c r="E43" s="997"/>
      <c r="F43" s="997"/>
      <c r="G43" s="997"/>
      <c r="H43" s="997"/>
      <c r="I43" s="997"/>
      <c r="J43" s="997"/>
      <c r="K43" s="997"/>
      <c r="L43" s="212"/>
    </row>
    <row r="44" spans="2:12" x14ac:dyDescent="0.3">
      <c r="B44" s="3"/>
      <c r="C44" s="997"/>
      <c r="D44" s="997"/>
      <c r="E44" s="997"/>
      <c r="F44" s="997"/>
      <c r="G44" s="997"/>
      <c r="H44" s="997"/>
      <c r="I44" s="997"/>
      <c r="J44" s="997"/>
      <c r="K44" s="997"/>
      <c r="L44" s="212"/>
    </row>
    <row r="45" spans="2:12" x14ac:dyDescent="0.3">
      <c r="B45" s="3"/>
      <c r="C45" s="998"/>
      <c r="D45" s="998"/>
      <c r="E45" s="998"/>
      <c r="F45" s="998"/>
      <c r="G45" s="998"/>
      <c r="H45" s="998"/>
      <c r="I45" s="998"/>
      <c r="J45" s="998"/>
      <c r="K45" s="998"/>
      <c r="L45" s="212"/>
    </row>
    <row r="46" spans="2:12" ht="8.5500000000000007" customHeight="1" thickBot="1" x14ac:dyDescent="0.35"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213"/>
    </row>
    <row r="47" spans="2:12" ht="9" customHeight="1" thickBot="1" x14ac:dyDescent="0.35"/>
    <row r="48" spans="2:12" x14ac:dyDescent="0.3">
      <c r="B48" s="994" t="s">
        <v>363</v>
      </c>
      <c r="C48" s="995"/>
      <c r="D48" s="2"/>
      <c r="E48" s="2"/>
      <c r="F48" s="2"/>
      <c r="G48" s="2"/>
      <c r="H48" s="2"/>
      <c r="I48" s="2"/>
      <c r="J48" s="2"/>
      <c r="K48" s="2"/>
      <c r="L48" s="214"/>
    </row>
    <row r="49" spans="2:12" x14ac:dyDescent="0.3">
      <c r="B49" s="3"/>
      <c r="L49" s="212"/>
    </row>
    <row r="50" spans="2:12" x14ac:dyDescent="0.3">
      <c r="B50" s="3"/>
      <c r="C50" s="20"/>
      <c r="L50" s="212"/>
    </row>
    <row r="51" spans="2:12" x14ac:dyDescent="0.3">
      <c r="B51" s="3"/>
      <c r="C51" s="996" t="s">
        <v>239</v>
      </c>
      <c r="D51" s="996"/>
      <c r="E51" s="996"/>
      <c r="F51" s="996"/>
      <c r="H51" s="996" t="s">
        <v>240</v>
      </c>
      <c r="I51" s="996"/>
      <c r="J51" s="996"/>
      <c r="K51" s="996"/>
      <c r="L51" s="212"/>
    </row>
    <row r="52" spans="2:12" ht="15" thickBot="1" x14ac:dyDescent="0.35"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213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15</vt:i4>
      </vt:variant>
    </vt:vector>
  </HeadingPairs>
  <TitlesOfParts>
    <vt:vector size="31" baseType="lpstr">
      <vt:lpstr>RESUMO </vt:lpstr>
      <vt:lpstr>INTERNOS</vt:lpstr>
      <vt:lpstr>EVENTO</vt:lpstr>
      <vt:lpstr>Brindes</vt:lpstr>
      <vt:lpstr>Novotel</vt:lpstr>
      <vt:lpstr>TIVOLI</vt:lpstr>
      <vt:lpstr>GRAND MERCURE VILA OLIMPIA</vt:lpstr>
      <vt:lpstr>RENAISSANCE</vt:lpstr>
      <vt:lpstr>WTC SHERATON</vt:lpstr>
      <vt:lpstr>Novotel Reunião 13pax</vt:lpstr>
      <vt:lpstr>CUSTOS OPERACIONAIS</vt:lpstr>
      <vt:lpstr>TOTAL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QdS</dc:creator>
  <cp:keywords/>
  <dc:description/>
  <cp:lastModifiedBy>Bruno Silva</cp:lastModifiedBy>
  <cp:revision/>
  <cp:lastPrinted>2026-01-22T21:36:45Z</cp:lastPrinted>
  <dcterms:created xsi:type="dcterms:W3CDTF">2023-09-21T21:02:20Z</dcterms:created>
  <dcterms:modified xsi:type="dcterms:W3CDTF">2026-03-05T20:11:24Z</dcterms:modified>
  <cp:category/>
  <cp:contentStatus/>
</cp:coreProperties>
</file>