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C:\Users\ddalv\Documents\Courses\OA\Project\"/>
    </mc:Choice>
  </mc:AlternateContent>
  <bookViews>
    <workbookView xWindow="0" yWindow="0" windowWidth="2350" windowHeight="370" firstSheet="4" activeTab="5"/>
  </bookViews>
  <sheets>
    <sheet name="Assignment" sheetId="14" r:id="rId1"/>
    <sheet name="Winter's Model" sheetId="18" r:id="rId2"/>
    <sheet name="Cycle Stock" sheetId="19" r:id="rId3"/>
    <sheet name="Saftey Stock" sheetId="21" r:id="rId4"/>
    <sheet name="Agg Model Fuction" sheetId="22" r:id="rId5"/>
    <sheet name="Aggregate Model" sheetId="20" r:id="rId6"/>
  </sheets>
  <definedNames>
    <definedName name="solver_adj" localSheetId="5" hidden="1">'Aggregate Model'!$D$5:$I$16</definedName>
    <definedName name="solver_cvg" localSheetId="5" hidden="1">0.0001</definedName>
    <definedName name="solver_drv" localSheetId="5" hidden="1">1</definedName>
    <definedName name="solver_eng" localSheetId="5" hidden="1">2</definedName>
    <definedName name="solver_est" localSheetId="5" hidden="1">1</definedName>
    <definedName name="solver_itr" localSheetId="5" hidden="1">2147483647</definedName>
    <definedName name="solver_lhs1" localSheetId="5" hidden="1">'Aggregate Model'!$D$5:$D$16</definedName>
    <definedName name="solver_lhs2" localSheetId="5" hidden="1">'Aggregate Model'!$I$16</definedName>
    <definedName name="solver_lhs3" localSheetId="5" hidden="1">'Aggregate Model'!$K$5:$K$16</definedName>
    <definedName name="solver_lhs4" localSheetId="5" hidden="1">'Aggregate Model'!$L$5:$L$16</definedName>
    <definedName name="solver_lhs5" localSheetId="5" hidden="1">'Aggregate Model'!$M$5:$M$16</definedName>
    <definedName name="solver_lhs6" localSheetId="5" hidden="1">'Aggregate Model'!$N$5:$N$16</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6</definedName>
    <definedName name="solver_nwt" localSheetId="5" hidden="1">1</definedName>
    <definedName name="solver_opt" localSheetId="5" hidden="1">'Aggregate Model'!$D$35</definedName>
    <definedName name="solver_pre" localSheetId="5" hidden="1">0.000001</definedName>
    <definedName name="solver_rbv" localSheetId="5" hidden="1">1</definedName>
    <definedName name="solver_rel1" localSheetId="5" hidden="1">1</definedName>
    <definedName name="solver_rel2" localSheetId="5" hidden="1">3</definedName>
    <definedName name="solver_rel3" localSheetId="5" hidden="1">2</definedName>
    <definedName name="solver_rel4" localSheetId="5" hidden="1">2</definedName>
    <definedName name="solver_rel5" localSheetId="5" hidden="1">3</definedName>
    <definedName name="solver_rel6" localSheetId="5" hidden="1">3</definedName>
    <definedName name="solver_rhs1" localSheetId="5" hidden="1">45</definedName>
    <definedName name="solver_rhs2" localSheetId="5" hidden="1">2000</definedName>
    <definedName name="solver_rhs3" localSheetId="5" hidden="1">0</definedName>
    <definedName name="solver_rhs4" localSheetId="5" hidden="1">0</definedName>
    <definedName name="solver_rhs5" localSheetId="5" hidden="1">0</definedName>
    <definedName name="solver_rhs6" localSheetId="5" hidden="1">0</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2</definedName>
    <definedName name="solver_val" localSheetId="5" hidden="1">0</definedName>
    <definedName name="solver_ver" localSheetId="5" hidden="1">3</definedName>
  </definedNames>
  <calcPr calcId="171027"/>
</workbook>
</file>

<file path=xl/calcChain.xml><?xml version="1.0" encoding="utf-8"?>
<calcChain xmlns="http://schemas.openxmlformats.org/spreadsheetml/2006/main">
  <c r="K48" i="20" l="1"/>
  <c r="K37" i="20"/>
  <c r="K38" i="20"/>
  <c r="K39" i="20"/>
  <c r="K40" i="20"/>
  <c r="K41" i="20"/>
  <c r="K42" i="20"/>
  <c r="K43" i="20"/>
  <c r="K44" i="20"/>
  <c r="K45" i="20"/>
  <c r="K46" i="20"/>
  <c r="K47" i="20"/>
  <c r="K36" i="20"/>
  <c r="I48" i="20" l="1"/>
  <c r="I37" i="20"/>
  <c r="I38" i="20"/>
  <c r="I39" i="20"/>
  <c r="I40" i="20"/>
  <c r="I41" i="20"/>
  <c r="I42" i="20"/>
  <c r="I43" i="20"/>
  <c r="I44" i="20"/>
  <c r="I45" i="20"/>
  <c r="I46" i="20"/>
  <c r="I47" i="20"/>
  <c r="I36" i="20" l="1"/>
  <c r="M6" i="20" l="1"/>
  <c r="M7" i="20"/>
  <c r="M8" i="20"/>
  <c r="M9" i="20"/>
  <c r="M10" i="20"/>
  <c r="M11" i="20"/>
  <c r="M12" i="20"/>
  <c r="M13" i="20"/>
  <c r="M14" i="20"/>
  <c r="M15" i="20"/>
  <c r="M16" i="20"/>
  <c r="M5" i="20"/>
  <c r="N6" i="20"/>
  <c r="N7" i="20"/>
  <c r="N8" i="20"/>
  <c r="N9" i="20"/>
  <c r="N10" i="20"/>
  <c r="N11" i="20"/>
  <c r="N12" i="20"/>
  <c r="N13" i="20"/>
  <c r="N14" i="20"/>
  <c r="N15" i="20"/>
  <c r="N16" i="20"/>
  <c r="N5" i="20"/>
  <c r="D21" i="20"/>
  <c r="B10" i="21" l="1"/>
  <c r="D7" i="21"/>
  <c r="B19" i="21" s="1"/>
  <c r="C22" i="21" s="1"/>
  <c r="C15" i="21" l="1"/>
  <c r="D22" i="20"/>
  <c r="D23" i="20"/>
  <c r="D24" i="20"/>
  <c r="D25" i="20"/>
  <c r="D26" i="20"/>
  <c r="D27" i="20"/>
  <c r="D28" i="20"/>
  <c r="D29" i="20"/>
  <c r="D30" i="20"/>
  <c r="D31" i="20"/>
  <c r="D32" i="20"/>
  <c r="L6" i="20"/>
  <c r="L7" i="20"/>
  <c r="L8" i="20"/>
  <c r="L9" i="20"/>
  <c r="L10" i="20"/>
  <c r="L11" i="20"/>
  <c r="L12" i="20"/>
  <c r="L13" i="20"/>
  <c r="L14" i="20"/>
  <c r="L15" i="20"/>
  <c r="L16" i="20"/>
  <c r="L5" i="20"/>
  <c r="K6" i="20"/>
  <c r="K7" i="20"/>
  <c r="K8" i="20"/>
  <c r="K9" i="20"/>
  <c r="K10" i="20"/>
  <c r="K11" i="20"/>
  <c r="K12" i="20"/>
  <c r="K13" i="20"/>
  <c r="K14" i="20"/>
  <c r="K15" i="20"/>
  <c r="K16" i="20"/>
  <c r="K5" i="20"/>
  <c r="K49" i="18" l="1"/>
  <c r="I21" i="20" l="1"/>
  <c r="H21" i="20"/>
  <c r="G21" i="20"/>
  <c r="E21" i="20"/>
  <c r="D36" i="20"/>
  <c r="F21" i="20"/>
  <c r="I22" i="20"/>
  <c r="I23" i="20"/>
  <c r="I24" i="20"/>
  <c r="I25" i="20"/>
  <c r="I26" i="20"/>
  <c r="I27" i="20"/>
  <c r="I28" i="20"/>
  <c r="I29" i="20"/>
  <c r="I30" i="20"/>
  <c r="I31" i="20"/>
  <c r="I32" i="20"/>
  <c r="H22" i="20"/>
  <c r="H23" i="20"/>
  <c r="H24" i="20"/>
  <c r="H25" i="20"/>
  <c r="H26" i="20"/>
  <c r="H27" i="20"/>
  <c r="H28" i="20"/>
  <c r="H29" i="20"/>
  <c r="H30" i="20"/>
  <c r="H31" i="20"/>
  <c r="H32" i="20"/>
  <c r="G22" i="20"/>
  <c r="G23" i="20"/>
  <c r="G24" i="20"/>
  <c r="G25" i="20"/>
  <c r="G26" i="20"/>
  <c r="G27" i="20"/>
  <c r="G28" i="20"/>
  <c r="G29" i="20"/>
  <c r="G30" i="20"/>
  <c r="G31" i="20"/>
  <c r="G32" i="20"/>
  <c r="F22" i="20"/>
  <c r="F23" i="20"/>
  <c r="F24" i="20"/>
  <c r="F25" i="20"/>
  <c r="F26" i="20"/>
  <c r="F27" i="20"/>
  <c r="F28" i="20"/>
  <c r="F29" i="20"/>
  <c r="F30" i="20"/>
  <c r="F31" i="20"/>
  <c r="F32" i="20"/>
  <c r="E22" i="20"/>
  <c r="E23" i="20"/>
  <c r="E24" i="20"/>
  <c r="E25" i="20"/>
  <c r="E26" i="20"/>
  <c r="E27" i="20"/>
  <c r="E28" i="20"/>
  <c r="E29" i="20"/>
  <c r="E30" i="20"/>
  <c r="E31" i="20"/>
  <c r="E32" i="20"/>
  <c r="B17" i="20"/>
  <c r="J47" i="20" l="1"/>
  <c r="J39" i="20"/>
  <c r="J43" i="20"/>
  <c r="J42" i="20"/>
  <c r="J38" i="20"/>
  <c r="D35" i="20"/>
  <c r="D37" i="20" s="1"/>
  <c r="J46" i="20"/>
  <c r="J45" i="20"/>
  <c r="J41" i="20"/>
  <c r="J37" i="20"/>
  <c r="J44" i="20"/>
  <c r="J40" i="20"/>
  <c r="J36" i="20"/>
  <c r="G33" i="20"/>
  <c r="E33" i="20"/>
  <c r="I33" i="20"/>
  <c r="D33" i="20"/>
  <c r="H33" i="20"/>
  <c r="F33" i="20"/>
  <c r="J48" i="20" l="1"/>
  <c r="C3" i="19"/>
  <c r="B21" i="19" s="1"/>
  <c r="B22" i="19" s="1"/>
  <c r="B17" i="19" l="1"/>
  <c r="F12" i="18"/>
  <c r="F13" i="18"/>
  <c r="F14" i="18"/>
  <c r="F15" i="18"/>
  <c r="G15" i="18" s="1"/>
  <c r="J15" i="18" s="1"/>
  <c r="F16" i="18"/>
  <c r="F17" i="18"/>
  <c r="G17" i="18" s="1"/>
  <c r="J17" i="18" s="1"/>
  <c r="F18" i="18"/>
  <c r="F19" i="18"/>
  <c r="F20" i="18"/>
  <c r="F21" i="18"/>
  <c r="G21" i="18" s="1"/>
  <c r="J21" i="18" s="1"/>
  <c r="F22" i="18"/>
  <c r="F23" i="18"/>
  <c r="F24" i="18"/>
  <c r="F25" i="18"/>
  <c r="G25" i="18" s="1"/>
  <c r="F26" i="18"/>
  <c r="F27" i="18"/>
  <c r="F28" i="18"/>
  <c r="F29" i="18"/>
  <c r="G29" i="18" s="1"/>
  <c r="F30" i="18"/>
  <c r="F31" i="18"/>
  <c r="G31" i="18" s="1"/>
  <c r="F32" i="18"/>
  <c r="F33" i="18"/>
  <c r="G33" i="18" s="1"/>
  <c r="F34" i="18"/>
  <c r="F11" i="18"/>
  <c r="G11" i="18" s="1"/>
  <c r="J11" i="18" s="1"/>
  <c r="H11" i="18" s="1"/>
  <c r="I11" i="18" s="1"/>
  <c r="G34" i="18"/>
  <c r="G32" i="18"/>
  <c r="G30" i="18"/>
  <c r="G28" i="18"/>
  <c r="E28" i="18"/>
  <c r="G27" i="18"/>
  <c r="E27" i="18"/>
  <c r="G26" i="18"/>
  <c r="E26" i="18"/>
  <c r="E25" i="18"/>
  <c r="G24" i="18"/>
  <c r="E24" i="18"/>
  <c r="G23" i="18"/>
  <c r="E23" i="18"/>
  <c r="G22" i="18"/>
  <c r="J22" i="18" s="1"/>
  <c r="E22" i="18"/>
  <c r="E21" i="18"/>
  <c r="G20" i="18"/>
  <c r="J20" i="18" s="1"/>
  <c r="E20" i="18"/>
  <c r="G19" i="18"/>
  <c r="J19" i="18" s="1"/>
  <c r="E19" i="18"/>
  <c r="G18" i="18"/>
  <c r="J18" i="18" s="1"/>
  <c r="E18" i="18"/>
  <c r="E17" i="18"/>
  <c r="G16" i="18"/>
  <c r="J16" i="18" s="1"/>
  <c r="G14" i="18"/>
  <c r="J14" i="18" s="1"/>
  <c r="G13" i="18"/>
  <c r="J13" i="18" s="1"/>
  <c r="G12" i="18"/>
  <c r="J12" i="18" s="1"/>
  <c r="H12" i="18" s="1"/>
  <c r="I12" i="18" s="1"/>
  <c r="K11" i="18" l="1"/>
  <c r="L11" i="18" s="1"/>
  <c r="J23" i="18" l="1"/>
  <c r="O11" i="18"/>
  <c r="M11" i="18"/>
  <c r="N11" i="18" l="1"/>
  <c r="K12" i="18"/>
  <c r="L12" i="18" s="1"/>
  <c r="H13" i="18"/>
  <c r="I13" i="18" s="1"/>
  <c r="J24" i="18"/>
  <c r="O12" i="18" l="1"/>
  <c r="M12" i="18"/>
  <c r="H14" i="18"/>
  <c r="I14" i="18" s="1"/>
  <c r="J25" i="18"/>
  <c r="K13" i="18"/>
  <c r="L13" i="18" s="1"/>
  <c r="N12" i="18" l="1"/>
  <c r="O13" i="18"/>
  <c r="M13" i="18"/>
  <c r="N13" i="18" s="1"/>
  <c r="K14" i="18"/>
  <c r="L14" i="18" s="1"/>
  <c r="K15" i="18"/>
  <c r="L15" i="18" s="1"/>
  <c r="J26" i="18"/>
  <c r="M15" i="18" l="1"/>
  <c r="N15" i="18" s="1"/>
  <c r="O15" i="18"/>
  <c r="M14" i="18"/>
  <c r="N14" i="18" s="1"/>
  <c r="O14" i="18"/>
  <c r="H15" i="18"/>
  <c r="I15" i="18" s="1"/>
  <c r="K16" i="18" l="1"/>
  <c r="L16" i="18" s="1"/>
  <c r="J27" i="18"/>
  <c r="O16" i="18" l="1"/>
  <c r="M16" i="18"/>
  <c r="H16" i="18"/>
  <c r="I16" i="18" s="1"/>
  <c r="N16" i="18" l="1"/>
  <c r="H17" i="18"/>
  <c r="I17" i="18" s="1"/>
  <c r="J28" i="18"/>
  <c r="K17" i="18" l="1"/>
  <c r="L17" i="18" s="1"/>
  <c r="O17" i="18" l="1"/>
  <c r="M17" i="18"/>
  <c r="N17" i="18" s="1"/>
  <c r="H18" i="18"/>
  <c r="I18" i="18" s="1"/>
  <c r="J29" i="18"/>
  <c r="H19" i="18" l="1"/>
  <c r="I19" i="18" s="1"/>
  <c r="J30" i="18"/>
  <c r="K18" i="18"/>
  <c r="L18" i="18" s="1"/>
  <c r="M18" i="18" l="1"/>
  <c r="N18" i="18" s="1"/>
  <c r="O18" i="18"/>
  <c r="K19" i="18"/>
  <c r="L19" i="18" s="1"/>
  <c r="K20" i="18"/>
  <c r="L20" i="18" s="1"/>
  <c r="J31" i="18"/>
  <c r="O20" i="18" l="1"/>
  <c r="M20" i="18"/>
  <c r="N20" i="18" s="1"/>
  <c r="M19" i="18"/>
  <c r="N19" i="18" s="1"/>
  <c r="O19" i="18"/>
  <c r="H20" i="18"/>
  <c r="I20" i="18" l="1"/>
  <c r="K21" i="18" s="1"/>
  <c r="L21" i="18" s="1"/>
  <c r="J32" i="18"/>
  <c r="O21" i="18" l="1"/>
  <c r="M21" i="18"/>
  <c r="N21" i="18" s="1"/>
  <c r="H21" i="18"/>
  <c r="I21" i="18" s="1"/>
  <c r="K22" i="18" s="1"/>
  <c r="L22" i="18" s="1"/>
  <c r="H22" i="18" l="1"/>
  <c r="I22" i="18" s="1"/>
  <c r="M22" i="18"/>
  <c r="N22" i="18" s="1"/>
  <c r="O22" i="18"/>
  <c r="J33" i="18"/>
  <c r="J34" i="18" l="1"/>
  <c r="K23" i="18"/>
  <c r="L23" i="18" s="1"/>
  <c r="H23" i="18"/>
  <c r="I23" i="18" s="1"/>
  <c r="M23" i="18" l="1"/>
  <c r="N23" i="18" s="1"/>
  <c r="O23" i="18"/>
  <c r="J35" i="18"/>
  <c r="H24" i="18"/>
  <c r="I24" i="18" s="1"/>
  <c r="J36" i="18" l="1"/>
  <c r="K25" i="18"/>
  <c r="L25" i="18" s="1"/>
  <c r="K24" i="18"/>
  <c r="L24" i="18" s="1"/>
  <c r="O25" i="18" l="1"/>
  <c r="M25" i="18"/>
  <c r="N25" i="18" s="1"/>
  <c r="O24" i="18"/>
  <c r="M24" i="18"/>
  <c r="N24" i="18" s="1"/>
  <c r="H25" i="18"/>
  <c r="I25" i="18" s="1"/>
  <c r="K26" i="18" l="1"/>
  <c r="L26" i="18" s="1"/>
  <c r="H26" i="18"/>
  <c r="I26" i="18" s="1"/>
  <c r="J37" i="18"/>
  <c r="M26" i="18" l="1"/>
  <c r="N26" i="18" s="1"/>
  <c r="O26" i="18"/>
  <c r="J38" i="18"/>
  <c r="K27" i="18"/>
  <c r="L27" i="18" s="1"/>
  <c r="M27" i="18" l="1"/>
  <c r="N27" i="18" s="1"/>
  <c r="O27" i="18"/>
  <c r="H27" i="18"/>
  <c r="I27" i="18" s="1"/>
  <c r="H28" i="18" l="1"/>
  <c r="I28" i="18" s="1"/>
  <c r="J39" i="18"/>
  <c r="K28" i="18"/>
  <c r="L28" i="18" s="1"/>
  <c r="O28" i="18" l="1"/>
  <c r="M28" i="18"/>
  <c r="N28" i="18" s="1"/>
  <c r="K29" i="18"/>
  <c r="L29" i="18" s="1"/>
  <c r="J40" i="18"/>
  <c r="O29" i="18" l="1"/>
  <c r="M29" i="18"/>
  <c r="N29" i="18" s="1"/>
  <c r="H29" i="18"/>
  <c r="I29" i="18" s="1"/>
  <c r="K30" i="18" l="1"/>
  <c r="L30" i="18" s="1"/>
  <c r="J41" i="18"/>
  <c r="M30" i="18" l="1"/>
  <c r="N30" i="18" s="1"/>
  <c r="O30" i="18"/>
  <c r="H30" i="18"/>
  <c r="I30" i="18" s="1"/>
  <c r="H31" i="18" l="1"/>
  <c r="I31" i="18" s="1"/>
  <c r="J42" i="18"/>
  <c r="H32" i="18" l="1"/>
  <c r="I32" i="18" s="1"/>
  <c r="J43" i="18"/>
  <c r="K32" i="18"/>
  <c r="L32" i="18" s="1"/>
  <c r="K31" i="18"/>
  <c r="L31" i="18" s="1"/>
  <c r="M31" i="18" l="1"/>
  <c r="N31" i="18" s="1"/>
  <c r="O31" i="18"/>
  <c r="O32" i="18"/>
  <c r="M32" i="18"/>
  <c r="N32" i="18" s="1"/>
  <c r="J44" i="18"/>
  <c r="K33" i="18"/>
  <c r="L33" i="18" s="1"/>
  <c r="O33" i="18" l="1"/>
  <c r="M33" i="18"/>
  <c r="N33" i="18" s="1"/>
  <c r="H33" i="18"/>
  <c r="I33" i="18" s="1"/>
  <c r="K34" i="18" l="1"/>
  <c r="L34" i="18" s="1"/>
  <c r="L41" i="18" s="1"/>
  <c r="J45" i="18"/>
  <c r="M34" i="18" l="1"/>
  <c r="O34" i="18"/>
  <c r="O41" i="18" s="1"/>
  <c r="P41" i="18" s="1"/>
  <c r="H34" i="18"/>
  <c r="N34" i="18" l="1"/>
  <c r="N41" i="18" s="1"/>
  <c r="M41" i="18"/>
  <c r="I34" i="18"/>
  <c r="K41" i="18" s="1"/>
  <c r="K37" i="18"/>
  <c r="K42" i="18"/>
  <c r="J46" i="18"/>
  <c r="K35" i="18" l="1"/>
  <c r="K36" i="18"/>
  <c r="K43" i="18"/>
  <c r="K38" i="18"/>
  <c r="K44" i="18"/>
  <c r="K39" i="18"/>
  <c r="K45" i="18"/>
  <c r="K40" i="18"/>
  <c r="K46" i="18"/>
</calcChain>
</file>

<file path=xl/sharedStrings.xml><?xml version="1.0" encoding="utf-8"?>
<sst xmlns="http://schemas.openxmlformats.org/spreadsheetml/2006/main" count="315" uniqueCount="225">
  <si>
    <t>Month</t>
  </si>
  <si>
    <t>per annum</t>
  </si>
  <si>
    <t>Operations Analysis</t>
  </si>
  <si>
    <t>799:580</t>
  </si>
  <si>
    <t>Case Assignment</t>
  </si>
  <si>
    <t>A chart showing planned monthly Demand, Production, and Inventory.</t>
  </si>
  <si>
    <t xml:space="preserve">Point form commentary on: </t>
  </si>
  <si>
    <t>Total profit for the year.</t>
  </si>
  <si>
    <t>The frequency of production runs, the run length and the batch size.</t>
  </si>
  <si>
    <t>The labor plan including planned overtime</t>
  </si>
  <si>
    <t>Your recommendations to Senior Management on future actions to be taken.</t>
  </si>
  <si>
    <t>Data:</t>
  </si>
  <si>
    <t>D (units)</t>
  </si>
  <si>
    <t>General Cost Data</t>
  </si>
  <si>
    <t>Holding cost h =</t>
  </si>
  <si>
    <t>per unit</t>
  </si>
  <si>
    <t>Material cost M =</t>
  </si>
  <si>
    <t xml:space="preserve">Sale Price P = </t>
  </si>
  <si>
    <t>Approach:</t>
  </si>
  <si>
    <t>Step 1:</t>
  </si>
  <si>
    <t>Forecast the next 12 months. [You are currently at the end of month 24].</t>
  </si>
  <si>
    <t>Step 2:</t>
  </si>
  <si>
    <t>Use a statistical measure of accuracy, and check for bias.</t>
  </si>
  <si>
    <t>Step 3:</t>
  </si>
  <si>
    <t>Use:</t>
  </si>
  <si>
    <t>Set-up/Change-over cost  S =</t>
  </si>
  <si>
    <t>Step 4:</t>
  </si>
  <si>
    <t>Step 5:</t>
  </si>
  <si>
    <t>Develop the optimal Aggregate plan.  In addition to the cost data above, use the following information:</t>
  </si>
  <si>
    <t>Each worker works an 8-hour shift/day.</t>
  </si>
  <si>
    <t>Worker regular wage</t>
  </si>
  <si>
    <t>per hour</t>
  </si>
  <si>
    <t>Overtime wage</t>
  </si>
  <si>
    <t>Maximum overtime</t>
  </si>
  <si>
    <t>hours per worker per month</t>
  </si>
  <si>
    <t>Cost to Hire a worker</t>
  </si>
  <si>
    <t>per person</t>
  </si>
  <si>
    <t>Cost to Fire a worker</t>
  </si>
  <si>
    <t>Cost of holding inventory per unit, per month = h * C / 12</t>
  </si>
  <si>
    <t>The current inventory level is 2,000 units.  Do not plan to drop below the safety stock level at anytime.</t>
  </si>
  <si>
    <t>Identify the decision variables, write the objective function, and develop the constraint equations.</t>
  </si>
  <si>
    <t>Your inventory plan including safety stock target and cycle service level</t>
  </si>
  <si>
    <t>Examine the demand data to determine the most suitable time series forecasting technique.</t>
  </si>
  <si>
    <t>Re-forecast the historical data to get current 'smoothed' values</t>
  </si>
  <si>
    <t>Determine the resultant Cycle Service Level.</t>
  </si>
  <si>
    <t>Given the following history of demand for the Doohickey product family, and the current production costs and capabilities, prepare a presentation to make at the next S&amp;OP meeting.</t>
  </si>
  <si>
    <t>The Supply Strategy (how Supply will match Demand, which "levers" are used)</t>
  </si>
  <si>
    <t>Historical Doohickey Demand</t>
  </si>
  <si>
    <t>Determine the historical forecast error for the technique you've chosen.</t>
  </si>
  <si>
    <t>Doohickeys are made on one production line, which is shared with other products (Gizmos and Widgets).  The line has to be changed-over when switching between products.</t>
  </si>
  <si>
    <t>Given the projected annual demand from above, determine the optimal size Q* of a production run, the number of runs per year (n) and the length of a run (R).  Assume the rate of production is twice the rate of demand (p = 2d).</t>
  </si>
  <si>
    <t>Note: Although demand varies month to month, and in reality batch sizes, run lengths and run frequency will also vary somewhat, use annual demand and determine average values for Q*, n and R.</t>
  </si>
  <si>
    <t>The firm has a customer service policy that says they want to achieve a 99.5% fill rate for all products.  This is in alignment with the Supply Chain strategy and is believed to be similar to your competitor's performance.</t>
  </si>
  <si>
    <t>Because the line is shared with other products, there are only 10 days per month available to make Doohickeys.  Regular labor costs are only charged to the Doohickey product line during these 10 days.</t>
  </si>
  <si>
    <t>On average, each worker can make 5 Doohickeys per hour.</t>
  </si>
  <si>
    <t>Currently there are 40 workers.  The current line configuration can only accommodate a maximum of 45 workers.</t>
  </si>
  <si>
    <t>Show the planned production quantities in units per month and don't worry about breaking the production requirements into separate runs.  That will be done by the factory scheduler at a later date.</t>
  </si>
  <si>
    <t xml:space="preserve">A chart of projected monthly Doohickey Revenue, Total Costs and Profit for the coming year. </t>
  </si>
  <si>
    <t xml:space="preserve">Doohickey cost C = </t>
  </si>
  <si>
    <t>Your presentation will be in PowerPoint format and will be composed of the following 7 or 8 slides:</t>
  </si>
  <si>
    <t>3 - 6</t>
  </si>
  <si>
    <t>Total sales for the year, growth, the demand pattern and forecast uncertainty</t>
  </si>
  <si>
    <t>7 - 8</t>
  </si>
  <si>
    <r>
      <rPr>
        <i/>
        <sz val="10"/>
        <color indexed="8"/>
        <rFont val="Arial"/>
        <family val="2"/>
      </rPr>
      <t>Hint:</t>
    </r>
    <r>
      <rPr>
        <sz val="10"/>
        <color theme="1"/>
        <rFont val="Arial"/>
        <family val="2"/>
      </rPr>
      <t xml:space="preserve"> Use alpha = 0.1;  beta = 0.1; gamma = 0.1</t>
    </r>
  </si>
  <si>
    <t>C = cost of goods sold = labor + material + inventory costs</t>
  </si>
  <si>
    <r>
      <t xml:space="preserve">Determine an appropriate level of safety stock, given the above target.  You have already determined order size Q, and you have measured the demand uncertainty.  Assume the replenishment lead time L is 1 month. </t>
    </r>
    <r>
      <rPr>
        <i/>
        <sz val="10"/>
        <color indexed="8"/>
        <rFont val="Arial"/>
        <family val="2"/>
      </rPr>
      <t>Hint:</t>
    </r>
    <r>
      <rPr>
        <sz val="10"/>
        <color theme="1"/>
        <rFont val="Arial"/>
        <family val="2"/>
      </rPr>
      <t xml:space="preserve"> use the nearest value of 'k' from the tables.</t>
    </r>
  </si>
  <si>
    <t>Then build your LP in Excel and solve for # workers, hires &amp; fires, overtime, inventory and production per month.</t>
  </si>
  <si>
    <t>Step 6:</t>
  </si>
  <si>
    <t>Calculate revenue per month</t>
  </si>
  <si>
    <t>Calculate operating cost per month using the cost data in the objective function and include the material cost (based on monthly production) and change-over cost at $950 per changeover per month.</t>
  </si>
  <si>
    <t>Calculate gross profit.</t>
  </si>
  <si>
    <t>Level</t>
  </si>
  <si>
    <t>Trend</t>
  </si>
  <si>
    <t>Forecast</t>
  </si>
  <si>
    <t>MSE</t>
  </si>
  <si>
    <t>RMSE</t>
  </si>
  <si>
    <t xml:space="preserve">p = 12 </t>
  </si>
  <si>
    <t>(even)</t>
  </si>
  <si>
    <t>Smoothing Constants</t>
  </si>
  <si>
    <t xml:space="preserve">Alpha = </t>
  </si>
  <si>
    <t>Beta =</t>
  </si>
  <si>
    <t>Gamma =</t>
  </si>
  <si>
    <t>Year</t>
  </si>
  <si>
    <t>Period</t>
  </si>
  <si>
    <r>
      <t>Demand D</t>
    </r>
    <r>
      <rPr>
        <b/>
        <vertAlign val="subscript"/>
        <sz val="10"/>
        <rFont val="Arial"/>
        <family val="2"/>
      </rPr>
      <t>t</t>
    </r>
  </si>
  <si>
    <t>De-seasonalized
Demand</t>
  </si>
  <si>
    <t>Regressed
Demand</t>
  </si>
  <si>
    <t>Seasonal
Ratios</t>
  </si>
  <si>
    <r>
      <t>Avg.
Seasonal Factor S</t>
    </r>
    <r>
      <rPr>
        <vertAlign val="subscript"/>
        <sz val="10"/>
        <rFont val="Arial"/>
        <family val="2"/>
      </rPr>
      <t>t</t>
    </r>
  </si>
  <si>
    <r>
      <t>E</t>
    </r>
    <r>
      <rPr>
        <b/>
        <vertAlign val="subscript"/>
        <sz val="10"/>
        <rFont val="Arial"/>
        <family val="2"/>
      </rPr>
      <t>t</t>
    </r>
  </si>
  <si>
    <r>
      <t>A</t>
    </r>
    <r>
      <rPr>
        <b/>
        <vertAlign val="subscript"/>
        <sz val="10"/>
        <rFont val="Arial"/>
        <family val="2"/>
      </rPr>
      <t>t</t>
    </r>
  </si>
  <si>
    <t>Abs % Error</t>
  </si>
  <si>
    <r>
      <t>Error</t>
    </r>
    <r>
      <rPr>
        <b/>
        <vertAlign val="superscript"/>
        <sz val="10"/>
        <rFont val="Arial"/>
        <family val="2"/>
      </rPr>
      <t>2</t>
    </r>
  </si>
  <si>
    <t>JAN</t>
  </si>
  <si>
    <t>FEB</t>
  </si>
  <si>
    <t>MAR</t>
  </si>
  <si>
    <t>APR</t>
  </si>
  <si>
    <t>MAY</t>
  </si>
  <si>
    <t>JUN</t>
  </si>
  <si>
    <t>JUL</t>
  </si>
  <si>
    <t>AUG</t>
  </si>
  <si>
    <t>SEP</t>
  </si>
  <si>
    <t>OCT</t>
  </si>
  <si>
    <t>NOV</t>
  </si>
  <si>
    <t>DEC</t>
  </si>
  <si>
    <t>Bias</t>
  </si>
  <si>
    <t>MAD</t>
  </si>
  <si>
    <t>MAPE</t>
  </si>
  <si>
    <t>Forecasts</t>
  </si>
  <si>
    <t xml:space="preserve">h = </t>
  </si>
  <si>
    <t>The Optimal production Run Length is:</t>
  </si>
  <si>
    <t>Q* = SQRT(2DS / [hC (1 – d/P)])</t>
  </si>
  <si>
    <t xml:space="preserve">D = </t>
  </si>
  <si>
    <t>per Year</t>
  </si>
  <si>
    <t xml:space="preserve">P = 2D = </t>
  </si>
  <si>
    <t xml:space="preserve">C = </t>
  </si>
  <si>
    <t xml:space="preserve">S = </t>
  </si>
  <si>
    <t>per Unit</t>
  </si>
  <si>
    <t>p.a</t>
  </si>
  <si>
    <t>The number of Runs per year:</t>
  </si>
  <si>
    <t xml:space="preserve">Q* = </t>
  </si>
  <si>
    <t>units</t>
  </si>
  <si>
    <t>n = D/Q*</t>
  </si>
  <si>
    <t>n =</t>
  </si>
  <si>
    <t>R = Q*/P</t>
  </si>
  <si>
    <t>R =</t>
  </si>
  <si>
    <t>weeks</t>
  </si>
  <si>
    <t>year</t>
  </si>
  <si>
    <t>Decision Variables</t>
  </si>
  <si>
    <t>Constraints</t>
  </si>
  <si>
    <t>Demand</t>
  </si>
  <si>
    <t>Wt</t>
  </si>
  <si>
    <t>Ht</t>
  </si>
  <si>
    <t>Lt</t>
  </si>
  <si>
    <t>Ot</t>
  </si>
  <si>
    <t>Pt</t>
  </si>
  <si>
    <t>It</t>
  </si>
  <si>
    <t>Price</t>
  </si>
  <si>
    <t>Workforce</t>
  </si>
  <si>
    <t>Inventory</t>
  </si>
  <si>
    <t>Capacity</t>
  </si>
  <si>
    <t>Overtime</t>
  </si>
  <si>
    <t>=</t>
  </si>
  <si>
    <t>Jan</t>
  </si>
  <si>
    <t>Feb</t>
  </si>
  <si>
    <t>Mar</t>
  </si>
  <si>
    <t>Apr</t>
  </si>
  <si>
    <t>May</t>
  </si>
  <si>
    <t>Jun</t>
  </si>
  <si>
    <t>Jul</t>
  </si>
  <si>
    <t>Aug</t>
  </si>
  <si>
    <t>Sep</t>
  </si>
  <si>
    <t>Oct</t>
  </si>
  <si>
    <t>Nov</t>
  </si>
  <si>
    <t>Dec</t>
  </si>
  <si>
    <t>Objective Function</t>
  </si>
  <si>
    <t>Regular Time</t>
  </si>
  <si>
    <t>Hiring</t>
  </si>
  <si>
    <t>Layoffs</t>
  </si>
  <si>
    <t>Material</t>
  </si>
  <si>
    <t>Total Cost</t>
  </si>
  <si>
    <t>Revenue</t>
  </si>
  <si>
    <t>Profit</t>
  </si>
  <si>
    <t>Data</t>
  </si>
  <si>
    <t>production rate</t>
  </si>
  <si>
    <t>cost to hire</t>
  </si>
  <si>
    <t>cost to layoff</t>
  </si>
  <si>
    <t>cost of inventory</t>
  </si>
  <si>
    <t>hourly wage</t>
  </si>
  <si>
    <t>Overtime rate</t>
  </si>
  <si>
    <t>Material cost</t>
  </si>
  <si>
    <t>Doohickey/day/worker</t>
  </si>
  <si>
    <t>SQRT(2*216738*950/0.21*48(1-(216738/433476)))</t>
  </si>
  <si>
    <t>n = 216738/9039</t>
  </si>
  <si>
    <t>R = 9039/433476</t>
  </si>
  <si>
    <t>TOTAL</t>
  </si>
  <si>
    <t>&gt;=</t>
  </si>
  <si>
    <t>Total</t>
  </si>
  <si>
    <t>Full rate = 0.995</t>
  </si>
  <si>
    <t>L = 1 month</t>
  </si>
  <si>
    <t>Q*=</t>
  </si>
  <si>
    <t>Fr = 1- (ESC/Q)</t>
  </si>
  <si>
    <t>ESC=(1-fr)Q</t>
  </si>
  <si>
    <t>K=</t>
  </si>
  <si>
    <t>SS =</t>
  </si>
  <si>
    <t>LP MODEL FOR DOOHICKEY</t>
  </si>
  <si>
    <t>Decision Variables:</t>
  </si>
  <si>
    <t>for t = 1, 2, 3… 12</t>
  </si>
  <si>
    <r>
      <t>W</t>
    </r>
    <r>
      <rPr>
        <vertAlign val="subscript"/>
        <sz val="12"/>
        <color theme="1"/>
        <rFont val="Calibri"/>
        <family val="2"/>
      </rPr>
      <t>t</t>
    </r>
    <r>
      <rPr>
        <sz val="12"/>
        <color theme="1"/>
        <rFont val="Calibri"/>
        <family val="2"/>
      </rPr>
      <t xml:space="preserve"> = workforce size for month</t>
    </r>
  </si>
  <si>
    <r>
      <t>H</t>
    </r>
    <r>
      <rPr>
        <vertAlign val="subscript"/>
        <sz val="12"/>
        <color theme="1"/>
        <rFont val="Calibri"/>
        <family val="2"/>
      </rPr>
      <t>t</t>
    </r>
    <r>
      <rPr>
        <sz val="12"/>
        <color theme="1"/>
        <rFont val="Calibri"/>
        <family val="2"/>
      </rPr>
      <t xml:space="preserve"> = # hires in month</t>
    </r>
  </si>
  <si>
    <r>
      <t>L</t>
    </r>
    <r>
      <rPr>
        <vertAlign val="subscript"/>
        <sz val="12"/>
        <color theme="1"/>
        <rFont val="Calibri"/>
        <family val="2"/>
      </rPr>
      <t>t</t>
    </r>
    <r>
      <rPr>
        <sz val="12"/>
        <color theme="1"/>
        <rFont val="Calibri"/>
        <family val="2"/>
      </rPr>
      <t xml:space="preserve"> = # lay-offs in month</t>
    </r>
  </si>
  <si>
    <r>
      <t>O</t>
    </r>
    <r>
      <rPr>
        <vertAlign val="subscript"/>
        <sz val="12"/>
        <color theme="1"/>
        <rFont val="Calibri"/>
        <family val="2"/>
      </rPr>
      <t>t</t>
    </r>
    <r>
      <rPr>
        <sz val="12"/>
        <color theme="1"/>
        <rFont val="Calibri"/>
        <family val="2"/>
      </rPr>
      <t xml:space="preserve"> = # hours of overtime in month</t>
    </r>
  </si>
  <si>
    <t>Other input parameters:</t>
  </si>
  <si>
    <t>Objective Function:</t>
  </si>
  <si>
    <t>Minimize cost:</t>
  </si>
  <si>
    <t>Constraint Equations:</t>
  </si>
  <si>
    <t>Workforce:</t>
  </si>
  <si>
    <r>
      <t>W</t>
    </r>
    <r>
      <rPr>
        <vertAlign val="subscript"/>
        <sz val="12"/>
        <color theme="1"/>
        <rFont val="Calibri"/>
        <family val="2"/>
      </rPr>
      <t>t-1</t>
    </r>
    <r>
      <rPr>
        <sz val="12"/>
        <color theme="1"/>
        <rFont val="Calibri"/>
        <family val="2"/>
      </rPr>
      <t xml:space="preserve"> + H</t>
    </r>
    <r>
      <rPr>
        <vertAlign val="subscript"/>
        <sz val="12"/>
        <color theme="1"/>
        <rFont val="Calibri"/>
        <family val="2"/>
      </rPr>
      <t>t</t>
    </r>
    <r>
      <rPr>
        <sz val="12"/>
        <color theme="1"/>
        <rFont val="Calibri"/>
        <family val="2"/>
      </rPr>
      <t xml:space="preserve"> – L</t>
    </r>
    <r>
      <rPr>
        <vertAlign val="subscript"/>
        <sz val="12"/>
        <color theme="1"/>
        <rFont val="Calibri"/>
        <family val="2"/>
      </rPr>
      <t>t</t>
    </r>
    <r>
      <rPr>
        <sz val="12"/>
        <color theme="1"/>
        <rFont val="Calibri"/>
        <family val="2"/>
      </rPr>
      <t xml:space="preserve"> - W</t>
    </r>
    <r>
      <rPr>
        <vertAlign val="subscript"/>
        <sz val="12"/>
        <color theme="1"/>
        <rFont val="Calibri"/>
        <family val="2"/>
      </rPr>
      <t>t</t>
    </r>
    <r>
      <rPr>
        <sz val="12"/>
        <color theme="1"/>
        <rFont val="Calibri"/>
        <family val="2"/>
      </rPr>
      <t xml:space="preserve"> = 0</t>
    </r>
  </si>
  <si>
    <t>Inventory:</t>
  </si>
  <si>
    <t>Capacity:</t>
  </si>
  <si>
    <t>Overtime:</t>
  </si>
  <si>
    <t>Non-negativity</t>
  </si>
  <si>
    <r>
      <t>P</t>
    </r>
    <r>
      <rPr>
        <vertAlign val="subscript"/>
        <sz val="12"/>
        <color theme="1"/>
        <rFont val="Calibri"/>
        <family val="2"/>
      </rPr>
      <t>t</t>
    </r>
    <r>
      <rPr>
        <sz val="12"/>
        <color theme="1"/>
        <rFont val="Calibri"/>
        <family val="2"/>
      </rPr>
      <t xml:space="preserve"> = # Doohickey produced in the month</t>
    </r>
  </si>
  <si>
    <r>
      <t>I</t>
    </r>
    <r>
      <rPr>
        <vertAlign val="subscript"/>
        <sz val="12"/>
        <color theme="1"/>
        <rFont val="Calibri"/>
        <family val="2"/>
      </rPr>
      <t>t</t>
    </r>
    <r>
      <rPr>
        <sz val="12"/>
        <color theme="1"/>
        <rFont val="Calibri"/>
        <family val="2"/>
      </rPr>
      <t xml:space="preserve"> = # of Doohickey in inventory at the end of the month</t>
    </r>
  </si>
  <si>
    <r>
      <t>D</t>
    </r>
    <r>
      <rPr>
        <vertAlign val="subscript"/>
        <sz val="12"/>
        <color theme="1"/>
        <rFont val="Calibri"/>
        <family val="2"/>
      </rPr>
      <t>t</t>
    </r>
    <r>
      <rPr>
        <sz val="12"/>
        <color theme="1"/>
        <rFont val="Calibri"/>
        <family val="2"/>
      </rPr>
      <t xml:space="preserve"> = Demand for Doohickey in the month</t>
    </r>
  </si>
  <si>
    <t>Jt = Number days in the month</t>
  </si>
  <si>
    <t>∑ Wt * Jt * 8 hr/d * $25 /hr + ∑ Ht * $3000 + ∑ Lt * $6000 + ∑ Ot * $37.50 + ∑ Pt * $42.40 + ∑ It * $0.84</t>
  </si>
  <si>
    <r>
      <t>W</t>
    </r>
    <r>
      <rPr>
        <vertAlign val="subscript"/>
        <sz val="12"/>
        <color theme="1"/>
        <rFont val="Calibri"/>
        <family val="2"/>
      </rPr>
      <t>0</t>
    </r>
    <r>
      <rPr>
        <sz val="12"/>
        <color theme="1"/>
        <rFont val="Calibri"/>
        <family val="2"/>
      </rPr>
      <t xml:space="preserve"> = 40</t>
    </r>
  </si>
  <si>
    <r>
      <t>W</t>
    </r>
    <r>
      <rPr>
        <vertAlign val="subscript"/>
        <sz val="12"/>
        <color theme="1"/>
        <rFont val="Calibri"/>
        <family val="2"/>
      </rPr>
      <t>0</t>
    </r>
    <r>
      <rPr>
        <sz val="12"/>
        <color theme="1"/>
        <rFont val="Calibri"/>
        <family val="2"/>
      </rPr>
      <t xml:space="preserve"> &lt;= 45</t>
    </r>
  </si>
  <si>
    <r>
      <t>I</t>
    </r>
    <r>
      <rPr>
        <vertAlign val="subscript"/>
        <sz val="12"/>
        <color theme="1"/>
        <rFont val="Calibri"/>
        <family val="2"/>
      </rPr>
      <t>0</t>
    </r>
    <r>
      <rPr>
        <sz val="12"/>
        <color theme="1"/>
        <rFont val="Calibri"/>
        <family val="2"/>
      </rPr>
      <t xml:space="preserve"> = I</t>
    </r>
    <r>
      <rPr>
        <vertAlign val="subscript"/>
        <sz val="12"/>
        <color theme="1"/>
        <rFont val="Calibri"/>
        <family val="2"/>
      </rPr>
      <t>12</t>
    </r>
    <r>
      <rPr>
        <sz val="12"/>
        <color theme="1"/>
        <rFont val="Calibri"/>
        <family val="2"/>
      </rPr>
      <t xml:space="preserve"> = 2000</t>
    </r>
  </si>
  <si>
    <r>
      <t>I</t>
    </r>
    <r>
      <rPr>
        <vertAlign val="subscript"/>
        <sz val="12"/>
        <color theme="1"/>
        <rFont val="Calibri"/>
        <family val="2"/>
      </rPr>
      <t>t-1</t>
    </r>
    <r>
      <rPr>
        <sz val="12"/>
        <color theme="1"/>
        <rFont val="Calibri"/>
        <family val="2"/>
      </rPr>
      <t xml:space="preserve"> + P</t>
    </r>
    <r>
      <rPr>
        <vertAlign val="subscript"/>
        <sz val="12"/>
        <color theme="1"/>
        <rFont val="Calibri"/>
        <family val="2"/>
      </rPr>
      <t>t</t>
    </r>
    <r>
      <rPr>
        <sz val="12"/>
        <color theme="1"/>
        <rFont val="Calibri"/>
        <family val="2"/>
      </rPr>
      <t xml:space="preserve"> – D</t>
    </r>
    <r>
      <rPr>
        <vertAlign val="subscript"/>
        <sz val="12"/>
        <color theme="1"/>
        <rFont val="Calibri"/>
        <family val="2"/>
      </rPr>
      <t>t</t>
    </r>
    <r>
      <rPr>
        <sz val="12"/>
        <color theme="1"/>
        <rFont val="Calibri"/>
        <family val="2"/>
      </rPr>
      <t xml:space="preserve"> </t>
    </r>
    <r>
      <rPr>
        <sz val="12"/>
        <color theme="1"/>
        <rFont val="Calibri"/>
        <family val="2"/>
      </rPr>
      <t xml:space="preserve"> – I</t>
    </r>
    <r>
      <rPr>
        <vertAlign val="subscript"/>
        <sz val="12"/>
        <color theme="1"/>
        <rFont val="Calibri"/>
        <family val="2"/>
      </rPr>
      <t>t</t>
    </r>
    <r>
      <rPr>
        <sz val="12"/>
        <color theme="1"/>
        <rFont val="Calibri"/>
        <family val="2"/>
      </rPr>
      <t xml:space="preserve"> </t>
    </r>
    <r>
      <rPr>
        <sz val="12"/>
        <color theme="1"/>
        <rFont val="Calibri"/>
        <family val="2"/>
      </rPr>
      <t xml:space="preserve"> = 0</t>
    </r>
  </si>
  <si>
    <r>
      <t>W</t>
    </r>
    <r>
      <rPr>
        <vertAlign val="subscript"/>
        <sz val="12"/>
        <color theme="1"/>
        <rFont val="Calibri"/>
        <family val="2"/>
      </rPr>
      <t>t</t>
    </r>
    <r>
      <rPr>
        <sz val="12"/>
        <color theme="1"/>
        <rFont val="Calibri"/>
        <family val="2"/>
      </rPr>
      <t xml:space="preserve"> * J</t>
    </r>
    <r>
      <rPr>
        <vertAlign val="subscript"/>
        <sz val="12"/>
        <color theme="1"/>
        <rFont val="Calibri"/>
        <family val="2"/>
      </rPr>
      <t>t</t>
    </r>
    <r>
      <rPr>
        <sz val="12"/>
        <color theme="1"/>
        <rFont val="Calibri"/>
        <family val="2"/>
      </rPr>
      <t xml:space="preserve"> * 40 + O</t>
    </r>
    <r>
      <rPr>
        <vertAlign val="subscript"/>
        <sz val="12"/>
        <color theme="1"/>
        <rFont val="Calibri"/>
        <family val="2"/>
      </rPr>
      <t>t</t>
    </r>
    <r>
      <rPr>
        <sz val="12"/>
        <color theme="1"/>
        <rFont val="Calibri"/>
        <family val="2"/>
      </rPr>
      <t xml:space="preserve"> * 40/8 – P</t>
    </r>
    <r>
      <rPr>
        <vertAlign val="subscript"/>
        <sz val="12"/>
        <color theme="1"/>
        <rFont val="Calibri"/>
        <family val="2"/>
      </rPr>
      <t>t</t>
    </r>
    <r>
      <rPr>
        <sz val="12"/>
        <color theme="1"/>
        <rFont val="Calibri"/>
        <family val="2"/>
      </rPr>
      <t xml:space="preserve"> &gt;= 0</t>
    </r>
  </si>
  <si>
    <r>
      <t>W</t>
    </r>
    <r>
      <rPr>
        <vertAlign val="subscript"/>
        <sz val="12"/>
        <color theme="1"/>
        <rFont val="Calibri"/>
        <family val="2"/>
      </rPr>
      <t>t</t>
    </r>
    <r>
      <rPr>
        <sz val="12"/>
        <color theme="1"/>
        <rFont val="Calibri"/>
        <family val="2"/>
      </rPr>
      <t xml:space="preserve"> * J</t>
    </r>
    <r>
      <rPr>
        <vertAlign val="subscript"/>
        <sz val="12"/>
        <color theme="1"/>
        <rFont val="Calibri"/>
        <family val="2"/>
      </rPr>
      <t>t</t>
    </r>
    <r>
      <rPr>
        <sz val="12"/>
        <color theme="1"/>
        <rFont val="Calibri"/>
        <family val="2"/>
      </rPr>
      <t xml:space="preserve"> * 24/10 – O</t>
    </r>
    <r>
      <rPr>
        <vertAlign val="subscript"/>
        <sz val="12"/>
        <color theme="1"/>
        <rFont val="Calibri"/>
        <family val="2"/>
      </rPr>
      <t>t</t>
    </r>
    <r>
      <rPr>
        <sz val="12"/>
        <color theme="1"/>
        <rFont val="Calibri"/>
        <family val="2"/>
      </rPr>
      <t xml:space="preserve"> &gt;= 0</t>
    </r>
  </si>
  <si>
    <t>Change- Over Cost</t>
  </si>
  <si>
    <t>Costs</t>
  </si>
  <si>
    <t>hrs/day</t>
  </si>
  <si>
    <t>/Doohickey</t>
  </si>
  <si>
    <t>/Hr</t>
  </si>
  <si>
    <t>/Doohickey/month</t>
  </si>
  <si>
    <t>/hire</t>
  </si>
  <si>
    <t>/lay-off</t>
  </si>
  <si>
    <t>Hours</t>
  </si>
  <si>
    <t>Hrs/Month</t>
  </si>
  <si>
    <t>Number of Days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</si>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</sst>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quot;$&quot;#,##0"/>
    <numFmt numFmtId="167" formatCode="General_)"/>
    <numFmt numFmtId="168" formatCode="_(&quot;$&quot;* #,##0_);_(&quot;$&quot;* \(#,##0\);_(&quot;$&quot;* &quot;-&quot;??_);_(@_)"/>
    <numFmt numFmtId="169" formatCode="_(&quot;$&quot;* #,##0.0_);_(&quot;$&quot;* \(#,##0.0\);_(&quot;$&quot;* &quot;-&quot;??_);_(@_)"/>
  </numFmts>
  <fonts count="18" x14ac:knownFonts="1">
    <font>
      <sz val="10"/>
      <color theme="1"/>
      <name val="Arial"/>
      <family val="2"/>
    </font>
    <font>
      <sz val="10"/>
      <color theme="1"/>
      <name val="Arial"/>
      <family val="2"/>
    </font>
    <font>
      <b/>
      <sz val="10"/>
      <color theme="1"/>
      <name val="Arial"/>
      <family val="2"/>
    </font>
    <font>
      <b/>
      <sz val="12"/>
      <color theme="1"/>
      <name val="Arial"/>
      <family val="2"/>
    </font>
    <font>
      <i/>
      <sz val="10"/>
      <color indexed="8"/>
      <name val="Arial"/>
      <family val="2"/>
    </font>
    <font>
      <sz val="10"/>
      <name val="Arial"/>
      <family val="2"/>
    </font>
    <font>
      <b/>
      <sz val="10"/>
      <name val="Arial"/>
      <family val="2"/>
    </font>
    <font>
      <vertAlign val="subscript"/>
      <sz val="10"/>
      <name val="Arial"/>
      <family val="2"/>
    </font>
    <font>
      <b/>
      <sz val="10"/>
      <color indexed="9"/>
      <name val="Arial"/>
      <family val="2"/>
    </font>
    <font>
      <b/>
      <vertAlign val="subscript"/>
      <sz val="10"/>
      <name val="Arial"/>
      <family val="2"/>
    </font>
    <font>
      <b/>
      <vertAlign val="superscript"/>
      <sz val="10"/>
      <name val="Arial"/>
      <family val="2"/>
    </font>
    <font>
      <b/>
      <u/>
      <sz val="10"/>
      <color theme="0"/>
      <name val="Arial"/>
      <family val="2"/>
    </font>
    <font>
      <sz val="10"/>
      <color theme="0"/>
      <name val="Arial"/>
      <family val="2"/>
    </font>
    <font>
      <u/>
      <sz val="12"/>
      <color theme="1"/>
      <name val="Calibri"/>
      <family val="2"/>
    </font>
    <font>
      <sz val="12"/>
      <color theme="1"/>
      <name val="Calibri"/>
      <family val="2"/>
    </font>
    <font>
      <vertAlign val="subscript"/>
      <sz val="12"/>
      <color theme="1"/>
      <name val="Calibri"/>
      <family val="2"/>
    </font>
    <font>
      <u/>
      <sz val="10"/>
      <color theme="1"/>
      <name val="Arial"/>
      <family val="2"/>
    </font>
    <font>
      <b/>
      <sz val="10"/>
      <color theme="0"/>
      <name val="Arial"/>
      <family val="2"/>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indexed="1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rgb="FF00B0F0"/>
        <bgColor indexed="64"/>
      </patternFill>
    </fill>
    <fill>
      <patternFill patternType="solid">
        <fgColor rgb="FFF87474"/>
        <bgColor indexed="64"/>
      </patternFill>
    </fill>
  </fills>
  <borders count="12">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16">
    <xf numFmtId="0" fontId="0" fillId="0" borderId="0" xfId="0"/>
    <xf numFmtId="1" fontId="0" fillId="0" borderId="0" xfId="0" applyNumberFormat="1"/>
    <xf numFmtId="0" fontId="0" fillId="0" borderId="0" xfId="0" applyAlignment="1">
      <alignment horizontal="center"/>
    </xf>
    <xf numFmtId="0" fontId="0" fillId="0" borderId="0" xfId="0" applyAlignment="1">
      <alignment horizontal="right"/>
    </xf>
    <xf numFmtId="6" fontId="0" fillId="0" borderId="0" xfId="0" applyNumberFormat="1"/>
    <xf numFmtId="8" fontId="0" fillId="0" borderId="0" xfId="0" applyNumberFormat="1"/>
    <xf numFmtId="0" fontId="2" fillId="0" borderId="0" xfId="0" applyFont="1"/>
    <xf numFmtId="9" fontId="0" fillId="0" borderId="0" xfId="0" applyNumberFormat="1"/>
    <xf numFmtId="16" fontId="0" fillId="0" borderId="0" xfId="0" quotePrefix="1" applyNumberFormat="1" applyAlignment="1">
      <alignment horizontal="center"/>
    </xf>
    <xf numFmtId="0" fontId="0" fillId="0" borderId="1" xfId="0" applyBorder="1"/>
    <xf numFmtId="1" fontId="2" fillId="0" borderId="0" xfId="0" applyNumberFormat="1" applyFont="1"/>
    <xf numFmtId="0" fontId="0" fillId="0" borderId="0" xfId="0" applyAlignment="1">
      <alignment vertical="top"/>
    </xf>
    <xf numFmtId="0" fontId="0" fillId="0" borderId="0" xfId="0" applyAlignment="1">
      <alignment vertical="top" wrapText="1"/>
    </xf>
    <xf numFmtId="164" fontId="1" fillId="0" borderId="0" xfId="1" applyNumberFormat="1" applyFont="1"/>
    <xf numFmtId="0" fontId="0" fillId="0" borderId="0" xfId="0" applyAlignment="1">
      <alignment horizontal="left"/>
    </xf>
    <xf numFmtId="0" fontId="0" fillId="0" borderId="0" xfId="0" applyAlignment="1">
      <alignment wrapText="1"/>
    </xf>
    <xf numFmtId="0" fontId="6" fillId="0" borderId="0" xfId="0" applyFont="1" applyFill="1" applyBorder="1"/>
    <xf numFmtId="0" fontId="0" fillId="0" borderId="0" xfId="0" applyFill="1" applyBorder="1" applyAlignment="1">
      <alignment horizontal="center"/>
    </xf>
    <xf numFmtId="0" fontId="6" fillId="0" borderId="0" xfId="0" applyFont="1"/>
    <xf numFmtId="0" fontId="0" fillId="0" borderId="0" xfId="0" applyFill="1"/>
    <xf numFmtId="0" fontId="8" fillId="0" borderId="0" xfId="0" applyFont="1" applyFill="1" applyAlignment="1">
      <alignment horizontal="center"/>
    </xf>
    <xf numFmtId="0" fontId="6" fillId="0" borderId="0" xfId="0" applyFont="1" applyFill="1"/>
    <xf numFmtId="0" fontId="0" fillId="0" borderId="0" xfId="0" applyFill="1" applyBorder="1" applyAlignment="1">
      <alignment horizontal="right"/>
    </xf>
    <xf numFmtId="0" fontId="0" fillId="0" borderId="0" xfId="0" applyFill="1" applyAlignment="1">
      <alignment horizontal="center"/>
    </xf>
    <xf numFmtId="165" fontId="8" fillId="5" borderId="0" xfId="0" applyNumberFormat="1" applyFont="1" applyFill="1" applyAlignment="1">
      <alignment horizontal="center"/>
    </xf>
    <xf numFmtId="0" fontId="5" fillId="0" borderId="2" xfId="0" applyFont="1" applyFill="1" applyBorder="1" applyAlignment="1">
      <alignment horizontal="center" wrapText="1"/>
    </xf>
    <xf numFmtId="0" fontId="6" fillId="0" borderId="2" xfId="0" applyFont="1" applyFill="1" applyBorder="1" applyAlignment="1">
      <alignment horizontal="center" wrapText="1"/>
    </xf>
    <xf numFmtId="0" fontId="5" fillId="0" borderId="2" xfId="0" applyFont="1" applyBorder="1" applyAlignment="1">
      <alignment horizontal="center" wrapText="1"/>
    </xf>
    <xf numFmtId="0" fontId="0" fillId="0" borderId="2" xfId="0" applyBorder="1" applyAlignment="1">
      <alignment horizontal="center" wrapText="1"/>
    </xf>
    <xf numFmtId="0" fontId="6" fillId="0" borderId="2" xfId="0" applyFont="1" applyBorder="1" applyAlignment="1">
      <alignment horizontal="center" wrapText="1"/>
    </xf>
    <xf numFmtId="0" fontId="5" fillId="0" borderId="7" xfId="0" applyFont="1" applyBorder="1" applyAlignment="1">
      <alignment horizontal="center" wrapText="1"/>
    </xf>
    <xf numFmtId="0" fontId="5" fillId="0" borderId="7" xfId="0" applyFont="1" applyFill="1" applyBorder="1" applyAlignment="1">
      <alignment horizontal="center" wrapText="1"/>
    </xf>
    <xf numFmtId="0" fontId="6" fillId="0" borderId="7" xfId="0" applyFont="1" applyFill="1" applyBorder="1" applyAlignment="1">
      <alignment horizontal="center" wrapText="1"/>
    </xf>
    <xf numFmtId="0" fontId="0" fillId="0" borderId="7" xfId="0" applyBorder="1" applyAlignment="1">
      <alignment horizontal="center" wrapText="1"/>
    </xf>
    <xf numFmtId="0" fontId="5" fillId="6" borderId="7" xfId="0" applyFont="1" applyFill="1" applyBorder="1" applyAlignment="1">
      <alignment horizontal="center"/>
    </xf>
    <xf numFmtId="0" fontId="6" fillId="4" borderId="7" xfId="0" applyFont="1" applyFill="1" applyBorder="1" applyAlignment="1">
      <alignment horizontal="center"/>
    </xf>
    <xf numFmtId="2" fontId="6" fillId="4" borderId="7" xfId="0" applyNumberFormat="1" applyFont="1" applyFill="1" applyBorder="1" applyAlignment="1">
      <alignment horizontal="center"/>
    </xf>
    <xf numFmtId="1" fontId="5" fillId="4" borderId="7" xfId="0" applyNumberFormat="1" applyFont="1" applyFill="1" applyBorder="1" applyAlignment="1">
      <alignment horizontal="center"/>
    </xf>
    <xf numFmtId="2" fontId="5" fillId="6" borderId="7" xfId="0" applyNumberFormat="1" applyFont="1" applyFill="1" applyBorder="1" applyAlignment="1">
      <alignment horizontal="center"/>
    </xf>
    <xf numFmtId="1" fontId="0" fillId="6" borderId="7" xfId="0" applyNumberFormat="1" applyFill="1" applyBorder="1" applyAlignment="1">
      <alignment horizontal="center"/>
    </xf>
    <xf numFmtId="1" fontId="0" fillId="0" borderId="0" xfId="0" applyNumberFormat="1" applyFill="1" applyBorder="1" applyAlignment="1">
      <alignment horizontal="center"/>
    </xf>
    <xf numFmtId="1" fontId="6" fillId="4" borderId="7" xfId="0" applyNumberFormat="1" applyFont="1" applyFill="1" applyBorder="1" applyAlignment="1">
      <alignment horizontal="center"/>
    </xf>
    <xf numFmtId="0" fontId="5" fillId="7" borderId="7" xfId="0" applyFont="1" applyFill="1" applyBorder="1" applyAlignment="1">
      <alignment horizontal="center"/>
    </xf>
    <xf numFmtId="1" fontId="0" fillId="4" borderId="7" xfId="0" applyNumberFormat="1" applyFill="1" applyBorder="1" applyAlignment="1">
      <alignment horizontal="center"/>
    </xf>
    <xf numFmtId="2" fontId="12" fillId="3" borderId="7" xfId="0" applyNumberFormat="1" applyFont="1" applyFill="1" applyBorder="1" applyAlignment="1">
      <alignment horizontal="center"/>
    </xf>
    <xf numFmtId="1" fontId="12" fillId="3" borderId="7" xfId="0" applyNumberFormat="1" applyFont="1" applyFill="1" applyBorder="1" applyAlignment="1">
      <alignment horizontal="center"/>
    </xf>
    <xf numFmtId="10" fontId="0" fillId="0" borderId="0" xfId="0" applyNumberFormat="1"/>
    <xf numFmtId="166" fontId="0" fillId="0" borderId="0" xfId="0" applyNumberFormat="1"/>
    <xf numFmtId="2" fontId="0" fillId="0" borderId="0" xfId="0" applyNumberFormat="1"/>
    <xf numFmtId="0" fontId="0" fillId="4" borderId="0" xfId="0" applyFill="1"/>
    <xf numFmtId="167" fontId="2" fillId="0" borderId="9" xfId="0" applyNumberFormat="1" applyFont="1" applyBorder="1" applyAlignment="1" applyProtection="1">
      <alignment horizontal="center"/>
    </xf>
    <xf numFmtId="167" fontId="2" fillId="0" borderId="10" xfId="0" applyNumberFormat="1" applyFont="1" applyBorder="1" applyAlignment="1" applyProtection="1">
      <alignment horizontal="center"/>
    </xf>
    <xf numFmtId="167" fontId="2" fillId="0" borderId="5" xfId="0" applyNumberFormat="1" applyFont="1" applyBorder="1" applyAlignment="1" applyProtection="1">
      <alignment horizontal="center"/>
    </xf>
    <xf numFmtId="167" fontId="2" fillId="0" borderId="0" xfId="0" applyNumberFormat="1" applyFont="1" applyAlignment="1" applyProtection="1">
      <alignment horizontal="center"/>
    </xf>
    <xf numFmtId="167" fontId="0" fillId="0" borderId="11" xfId="0" applyNumberFormat="1" applyBorder="1" applyAlignment="1" applyProtection="1">
      <alignment horizontal="right"/>
    </xf>
    <xf numFmtId="167" fontId="0" fillId="0" borderId="0" xfId="0" applyNumberFormat="1" applyBorder="1" applyAlignment="1" applyProtection="1">
      <alignment horizontal="right"/>
    </xf>
    <xf numFmtId="167" fontId="0" fillId="0" borderId="8" xfId="0" applyNumberFormat="1" applyBorder="1" applyAlignment="1" applyProtection="1">
      <alignment horizontal="right"/>
    </xf>
    <xf numFmtId="167" fontId="0" fillId="0" borderId="0" xfId="0" applyNumberFormat="1" applyAlignment="1" applyProtection="1">
      <alignment horizontal="right"/>
    </xf>
    <xf numFmtId="167" fontId="0" fillId="0" borderId="11" xfId="0" applyNumberFormat="1" applyBorder="1" applyProtection="1"/>
    <xf numFmtId="167" fontId="0" fillId="0" borderId="0" xfId="0" applyNumberFormat="1" applyBorder="1" applyProtection="1"/>
    <xf numFmtId="167" fontId="0" fillId="0" borderId="8" xfId="0" applyNumberFormat="1" applyBorder="1" applyProtection="1"/>
    <xf numFmtId="167" fontId="0" fillId="0" borderId="3" xfId="0" applyNumberFormat="1" applyBorder="1" applyProtection="1"/>
    <xf numFmtId="167" fontId="0" fillId="0" borderId="6" xfId="0" applyNumberFormat="1" applyBorder="1" applyProtection="1"/>
    <xf numFmtId="167" fontId="0" fillId="0" borderId="4" xfId="0" applyNumberFormat="1" applyBorder="1" applyProtection="1"/>
    <xf numFmtId="167" fontId="0" fillId="0" borderId="0" xfId="0" applyNumberFormat="1"/>
    <xf numFmtId="167" fontId="0" fillId="0" borderId="0" xfId="0" applyNumberFormat="1" applyProtection="1"/>
    <xf numFmtId="167" fontId="0" fillId="0" borderId="0" xfId="0" applyNumberFormat="1" applyBorder="1"/>
    <xf numFmtId="168" fontId="0" fillId="0" borderId="0" xfId="2" applyNumberFormat="1" applyFont="1"/>
    <xf numFmtId="0" fontId="2" fillId="0" borderId="9" xfId="0" applyFont="1" applyBorder="1"/>
    <xf numFmtId="0" fontId="2" fillId="0" borderId="10" xfId="0" applyFont="1" applyBorder="1"/>
    <xf numFmtId="168" fontId="2" fillId="0" borderId="5" xfId="2" applyNumberFormat="1" applyFont="1" applyBorder="1"/>
    <xf numFmtId="0" fontId="2" fillId="0" borderId="11" xfId="0" applyFont="1" applyBorder="1"/>
    <xf numFmtId="0" fontId="2" fillId="0" borderId="0" xfId="0" applyFont="1" applyBorder="1"/>
    <xf numFmtId="168" fontId="2" fillId="0" borderId="8" xfId="2" applyNumberFormat="1" applyFont="1" applyBorder="1"/>
    <xf numFmtId="0" fontId="2" fillId="0" borderId="3" xfId="0" applyFont="1" applyBorder="1"/>
    <xf numFmtId="0" fontId="2" fillId="0" borderId="6" xfId="0" applyFont="1" applyBorder="1"/>
    <xf numFmtId="168" fontId="2" fillId="0" borderId="4" xfId="2" applyNumberFormat="1" applyFont="1" applyBorder="1"/>
    <xf numFmtId="0" fontId="2" fillId="0" borderId="0" xfId="0" applyFont="1" applyFill="1" applyBorder="1"/>
    <xf numFmtId="44" fontId="0" fillId="0" borderId="0" xfId="2" applyNumberFormat="1" applyFont="1"/>
    <xf numFmtId="0" fontId="0" fillId="0" borderId="0" xfId="2" applyNumberFormat="1" applyFont="1"/>
    <xf numFmtId="0" fontId="2" fillId="0" borderId="0" xfId="0" applyFont="1" applyBorder="1" applyAlignment="1">
      <alignment horizontal="center"/>
    </xf>
    <xf numFmtId="167" fontId="2" fillId="0" borderId="0" xfId="0" applyNumberFormat="1" applyFont="1" applyBorder="1" applyAlignment="1" applyProtection="1">
      <alignment horizontal="center"/>
    </xf>
    <xf numFmtId="167" fontId="2" fillId="0" borderId="11" xfId="0" applyNumberFormat="1" applyFont="1" applyFill="1" applyBorder="1" applyProtection="1"/>
    <xf numFmtId="0" fontId="0" fillId="0" borderId="0" xfId="0" applyAlignment="1">
      <alignment vertical="top" wrapText="1"/>
    </xf>
    <xf numFmtId="0" fontId="0" fillId="0" borderId="0" xfId="0" applyAlignment="1">
      <alignment horizontal="center" vertical="top"/>
    </xf>
    <xf numFmtId="1" fontId="0" fillId="8" borderId="0" xfId="0" applyNumberFormat="1" applyFill="1" applyProtection="1"/>
    <xf numFmtId="168" fontId="0" fillId="9" borderId="0" xfId="2" applyNumberFormat="1" applyFont="1" applyFill="1"/>
    <xf numFmtId="3" fontId="0" fillId="2" borderId="0" xfId="1" applyNumberFormat="1" applyFont="1" applyFill="1"/>
    <xf numFmtId="1" fontId="5" fillId="9" borderId="7" xfId="0" applyNumberFormat="1" applyFont="1" applyFill="1" applyBorder="1" applyAlignment="1">
      <alignment horizontal="center" wrapText="1"/>
    </xf>
    <xf numFmtId="0" fontId="6" fillId="4" borderId="2" xfId="0" applyFont="1" applyFill="1" applyBorder="1" applyAlignment="1">
      <alignment horizontal="center" wrapText="1"/>
    </xf>
    <xf numFmtId="0" fontId="13" fillId="0" borderId="0" xfId="0" applyFont="1" applyAlignment="1">
      <alignment vertical="center"/>
    </xf>
    <xf numFmtId="0" fontId="14" fillId="0" borderId="0" xfId="0" applyFont="1" applyAlignment="1">
      <alignment vertical="center"/>
    </xf>
    <xf numFmtId="0" fontId="14" fillId="0" borderId="0" xfId="0" applyFont="1"/>
    <xf numFmtId="0" fontId="14" fillId="0" borderId="0" xfId="0" applyFont="1" applyAlignment="1">
      <alignment horizontal="left" vertical="center" indent="4"/>
    </xf>
    <xf numFmtId="0" fontId="14" fillId="0" borderId="0" xfId="0" applyFont="1" applyAlignment="1">
      <alignment horizontal="left" vertical="center" indent="13"/>
    </xf>
    <xf numFmtId="0" fontId="16" fillId="0" borderId="0" xfId="0" applyFont="1"/>
    <xf numFmtId="0" fontId="2" fillId="0" borderId="0" xfId="0" applyFont="1" applyAlignment="1">
      <alignment horizontal="center"/>
    </xf>
    <xf numFmtId="0" fontId="0" fillId="9" borderId="0" xfId="0" applyFill="1"/>
    <xf numFmtId="166" fontId="0" fillId="9" borderId="0" xfId="0" applyNumberFormat="1" applyFill="1"/>
    <xf numFmtId="166" fontId="0" fillId="10" borderId="0" xfId="0" applyNumberFormat="1" applyFill="1"/>
    <xf numFmtId="168" fontId="0" fillId="10" borderId="0" xfId="0" applyNumberFormat="1" applyFill="1"/>
    <xf numFmtId="167" fontId="17" fillId="3" borderId="0" xfId="0" applyNumberFormat="1" applyFont="1" applyFill="1" applyProtection="1"/>
    <xf numFmtId="166" fontId="12" fillId="3" borderId="0" xfId="0" applyNumberFormat="1" applyFont="1" applyFill="1"/>
    <xf numFmtId="168" fontId="12" fillId="3" borderId="0" xfId="0" applyNumberFormat="1" applyFont="1" applyFill="1"/>
    <xf numFmtId="167" fontId="12" fillId="3" borderId="0" xfId="0" applyNumberFormat="1" applyFont="1" applyFill="1" applyProtection="1"/>
    <xf numFmtId="167" fontId="17" fillId="3" borderId="0" xfId="0" applyNumberFormat="1" applyFont="1" applyFill="1" applyAlignment="1" applyProtection="1">
      <alignment horizontal="center"/>
    </xf>
    <xf numFmtId="0" fontId="17" fillId="3" borderId="0" xfId="0" applyFont="1" applyFill="1" applyAlignment="1">
      <alignment horizontal="center"/>
    </xf>
    <xf numFmtId="1" fontId="0" fillId="0" borderId="0" xfId="2" applyNumberFormat="1" applyFont="1"/>
    <xf numFmtId="169" fontId="0" fillId="0" borderId="0" xfId="2" applyNumberFormat="1" applyFont="1"/>
    <xf numFmtId="0" fontId="12" fillId="3" borderId="0" xfId="0" applyFont="1" applyFill="1"/>
    <xf numFmtId="0" fontId="0" fillId="0" borderId="0" xfId="0" applyAlignment="1">
      <alignment horizontal="left" wrapText="1"/>
    </xf>
    <xf numFmtId="0" fontId="0" fillId="0" borderId="0" xfId="0" applyAlignment="1">
      <alignment vertical="top" wrapText="1"/>
    </xf>
    <xf numFmtId="0" fontId="3" fillId="0" borderId="0" xfId="0" applyFont="1" applyAlignment="1">
      <alignment horizontal="center"/>
    </xf>
    <xf numFmtId="0" fontId="0" fillId="0" borderId="0" xfId="0" applyAlignment="1">
      <alignment wrapText="1"/>
    </xf>
    <xf numFmtId="0" fontId="11" fillId="3" borderId="0" xfId="0" applyFont="1" applyFill="1" applyAlignment="1">
      <alignment horizontal="center"/>
    </xf>
    <xf numFmtId="0" fontId="11" fillId="3" borderId="8" xfId="0" applyFont="1" applyFill="1" applyBorder="1" applyAlignment="1">
      <alignment horizontal="center"/>
    </xf>
  </cellXfs>
  <cellStyles count="3">
    <cellStyle name="Comma" xfId="1" builtinId="3"/>
    <cellStyle name="Currency" xfId="2" builtinId="4"/>
    <cellStyle name="Normal" xfId="0" builtinId="0"/>
  </cellStyles>
  <dxfs count="0"/>
  <tableStyles count="0" defaultTableStyle="TableStyleMedium9" defaultPivotStyle="PivotStyleLight16"/>
  <colors>
    <mruColors>
      <color rgb="FFF87474"/>
      <color rgb="FFFC04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Demand VS Forecast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Demand</c:v>
          </c:tx>
          <c:spPr>
            <a:ln w="34925" cap="rnd">
              <a:solidFill>
                <a:schemeClr val="accent1"/>
              </a:solidFill>
              <a:round/>
            </a:ln>
            <a:effectLst>
              <a:outerShdw blurRad="40000" dist="23000" dir="5400000" rotWithShape="0">
                <a:srgbClr val="000000">
                  <a:alpha val="35000"/>
                </a:srgbClr>
              </a:outerShdw>
            </a:effectLst>
          </c:spPr>
          <c:marker>
            <c:symbol val="none"/>
          </c:marker>
          <c:val>
            <c:numRef>
              <c:f>'Winter''s Model'!$D$11:$D$34</c:f>
              <c:numCache>
                <c:formatCode>_(* #,##0_);_(* \(#,##0\);_(* "-"??_);_(@_)</c:formatCode>
                <c:ptCount val="24"/>
                <c:pt idx="0">
                  <c:v>15003</c:v>
                </c:pt>
                <c:pt idx="1">
                  <c:v>13844</c:v>
                </c:pt>
                <c:pt idx="2">
                  <c:v>11195</c:v>
                </c:pt>
                <c:pt idx="3">
                  <c:v>11680</c:v>
                </c:pt>
                <c:pt idx="4">
                  <c:v>8614</c:v>
                </c:pt>
                <c:pt idx="5">
                  <c:v>10180</c:v>
                </c:pt>
                <c:pt idx="6">
                  <c:v>13878</c:v>
                </c:pt>
                <c:pt idx="7">
                  <c:v>11532</c:v>
                </c:pt>
                <c:pt idx="8">
                  <c:v>14642</c:v>
                </c:pt>
                <c:pt idx="9">
                  <c:v>16114</c:v>
                </c:pt>
                <c:pt idx="10">
                  <c:v>15935</c:v>
                </c:pt>
                <c:pt idx="11">
                  <c:v>20864</c:v>
                </c:pt>
                <c:pt idx="12">
                  <c:v>20000</c:v>
                </c:pt>
                <c:pt idx="13">
                  <c:v>14471</c:v>
                </c:pt>
                <c:pt idx="14">
                  <c:v>13229</c:v>
                </c:pt>
                <c:pt idx="15">
                  <c:v>14154</c:v>
                </c:pt>
                <c:pt idx="16">
                  <c:v>9457</c:v>
                </c:pt>
                <c:pt idx="17">
                  <c:v>10802</c:v>
                </c:pt>
                <c:pt idx="18">
                  <c:v>12669</c:v>
                </c:pt>
                <c:pt idx="19">
                  <c:v>15303</c:v>
                </c:pt>
                <c:pt idx="20">
                  <c:v>19230</c:v>
                </c:pt>
                <c:pt idx="21">
                  <c:v>19722</c:v>
                </c:pt>
                <c:pt idx="22">
                  <c:v>20890</c:v>
                </c:pt>
                <c:pt idx="23">
                  <c:v>21774</c:v>
                </c:pt>
              </c:numCache>
            </c:numRef>
          </c:val>
          <c:smooth val="0"/>
          <c:extLst>
            <c:ext xmlns:c16="http://schemas.microsoft.com/office/drawing/2014/chart" uri="{C3380CC4-5D6E-409C-BE32-E72D297353CC}">
              <c16:uniqueId val="{00000000-FF95-4A74-8282-D588B3A095A4}"/>
            </c:ext>
          </c:extLst>
        </c:ser>
        <c:ser>
          <c:idx val="1"/>
          <c:order val="1"/>
          <c:tx>
            <c:v>Forecast</c:v>
          </c:tx>
          <c:spPr>
            <a:ln w="34925" cap="rnd">
              <a:solidFill>
                <a:schemeClr val="accent2"/>
              </a:solidFill>
              <a:round/>
            </a:ln>
            <a:effectLst>
              <a:outerShdw blurRad="40000" dist="23000" dir="5400000" rotWithShape="0">
                <a:srgbClr val="000000">
                  <a:alpha val="35000"/>
                </a:srgbClr>
              </a:outerShdw>
            </a:effectLst>
          </c:spPr>
          <c:marker>
            <c:symbol val="none"/>
          </c:marker>
          <c:val>
            <c:numRef>
              <c:f>'Winter''s Model'!$K$11:$K$46</c:f>
              <c:numCache>
                <c:formatCode>0</c:formatCode>
                <c:ptCount val="36"/>
                <c:pt idx="0">
                  <c:v>16099.555105348461</c:v>
                </c:pt>
                <c:pt idx="1">
                  <c:v>13057.599355885326</c:v>
                </c:pt>
                <c:pt idx="2">
                  <c:v>11289.256805457426</c:v>
                </c:pt>
                <c:pt idx="3">
                  <c:v>11929.424042602894</c:v>
                </c:pt>
                <c:pt idx="4">
                  <c:v>8361.751318373681</c:v>
                </c:pt>
                <c:pt idx="5">
                  <c:v>9757.5666501090527</c:v>
                </c:pt>
                <c:pt idx="6">
                  <c:v>12478.645932018793</c:v>
                </c:pt>
                <c:pt idx="7">
                  <c:v>12616.78917354507</c:v>
                </c:pt>
                <c:pt idx="8">
                  <c:v>15815.474823143208</c:v>
                </c:pt>
                <c:pt idx="9">
                  <c:v>16659.206384008114</c:v>
                </c:pt>
                <c:pt idx="10">
                  <c:v>17030.043204603578</c:v>
                </c:pt>
                <c:pt idx="11">
                  <c:v>19735.973195805826</c:v>
                </c:pt>
                <c:pt idx="12">
                  <c:v>18490.816071354118</c:v>
                </c:pt>
                <c:pt idx="13">
                  <c:v>15384.242646461191</c:v>
                </c:pt>
                <c:pt idx="14">
                  <c:v>13035.725653557258</c:v>
                </c:pt>
                <c:pt idx="15">
                  <c:v>13766.464407106267</c:v>
                </c:pt>
                <c:pt idx="16">
                  <c:v>9728.536199973807</c:v>
                </c:pt>
                <c:pt idx="17">
                  <c:v>11279.642558286316</c:v>
                </c:pt>
                <c:pt idx="18">
                  <c:v>14353.098961921571</c:v>
                </c:pt>
                <c:pt idx="19">
                  <c:v>13870.999787401406</c:v>
                </c:pt>
                <c:pt idx="20">
                  <c:v>17691.00830807801</c:v>
                </c:pt>
                <c:pt idx="21">
                  <c:v>18986.105488256118</c:v>
                </c:pt>
                <c:pt idx="22">
                  <c:v>19480.591263365921</c:v>
                </c:pt>
                <c:pt idx="23">
                  <c:v>23153.072256899366</c:v>
                </c:pt>
                <c:pt idx="24">
                  <c:v>21478.344755837021</c:v>
                </c:pt>
                <c:pt idx="25">
                  <c:v>17483.151815297457</c:v>
                </c:pt>
                <c:pt idx="26">
                  <c:v>14994.859690684883</c:v>
                </c:pt>
                <c:pt idx="27">
                  <c:v>15820.186174706976</c:v>
                </c:pt>
                <c:pt idx="28">
                  <c:v>11082.343071674579</c:v>
                </c:pt>
                <c:pt idx="29">
                  <c:v>12860.131105301232</c:v>
                </c:pt>
                <c:pt idx="30">
                  <c:v>16316.581413681921</c:v>
                </c:pt>
                <c:pt idx="31">
                  <c:v>16289.534360061418</c:v>
                </c:pt>
                <c:pt idx="32">
                  <c:v>20531.468029792057</c:v>
                </c:pt>
                <c:pt idx="33">
                  <c:v>21732.159432402677</c:v>
                </c:pt>
                <c:pt idx="34">
                  <c:v>22251.211067446289</c:v>
                </c:pt>
                <c:pt idx="35">
                  <c:v>25899.489508382481</c:v>
                </c:pt>
              </c:numCache>
            </c:numRef>
          </c:val>
          <c:smooth val="0"/>
          <c:extLst>
            <c:ext xmlns:c16="http://schemas.microsoft.com/office/drawing/2014/chart" uri="{C3380CC4-5D6E-409C-BE32-E72D297353CC}">
              <c16:uniqueId val="{00000001-FF95-4A74-8282-D588B3A095A4}"/>
            </c:ext>
          </c:extLst>
        </c:ser>
        <c:dLbls>
          <c:showLegendKey val="0"/>
          <c:showVal val="0"/>
          <c:showCatName val="0"/>
          <c:showSerName val="0"/>
          <c:showPercent val="0"/>
          <c:showBubbleSize val="0"/>
        </c:dLbls>
        <c:smooth val="0"/>
        <c:axId val="544476288"/>
        <c:axId val="544476616"/>
      </c:lineChart>
      <c:catAx>
        <c:axId val="544476288"/>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476616"/>
        <c:crosses val="autoZero"/>
        <c:auto val="1"/>
        <c:lblAlgn val="ctr"/>
        <c:lblOffset val="100"/>
        <c:noMultiLvlLbl val="0"/>
      </c:catAx>
      <c:valAx>
        <c:axId val="54447661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47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Regression Plot of Demand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Demand</c:v>
          </c:tx>
          <c:spPr>
            <a:ln w="34925" cap="rnd">
              <a:solidFill>
                <a:schemeClr val="accent1"/>
              </a:solidFill>
              <a:round/>
            </a:ln>
            <a:effectLst>
              <a:outerShdw blurRad="40000" dist="23000" dir="5400000" rotWithShape="0">
                <a:srgbClr val="000000">
                  <a:alpha val="35000"/>
                </a:srgbClr>
              </a:outerShdw>
            </a:effectLst>
          </c:spPr>
          <c:marker>
            <c:symbol val="none"/>
          </c:marker>
          <c:val>
            <c:numRef>
              <c:f>'Winter''s Model'!$D$11:$D$34</c:f>
              <c:numCache>
                <c:formatCode>_(* #,##0_);_(* \(#,##0\);_(* "-"??_);_(@_)</c:formatCode>
                <c:ptCount val="24"/>
                <c:pt idx="0">
                  <c:v>15003</c:v>
                </c:pt>
                <c:pt idx="1">
                  <c:v>13844</c:v>
                </c:pt>
                <c:pt idx="2">
                  <c:v>11195</c:v>
                </c:pt>
                <c:pt idx="3">
                  <c:v>11680</c:v>
                </c:pt>
                <c:pt idx="4">
                  <c:v>8614</c:v>
                </c:pt>
                <c:pt idx="5">
                  <c:v>10180</c:v>
                </c:pt>
                <c:pt idx="6">
                  <c:v>13878</c:v>
                </c:pt>
                <c:pt idx="7">
                  <c:v>11532</c:v>
                </c:pt>
                <c:pt idx="8">
                  <c:v>14642</c:v>
                </c:pt>
                <c:pt idx="9">
                  <c:v>16114</c:v>
                </c:pt>
                <c:pt idx="10">
                  <c:v>15935</c:v>
                </c:pt>
                <c:pt idx="11">
                  <c:v>20864</c:v>
                </c:pt>
                <c:pt idx="12">
                  <c:v>20000</c:v>
                </c:pt>
                <c:pt idx="13">
                  <c:v>14471</c:v>
                </c:pt>
                <c:pt idx="14">
                  <c:v>13229</c:v>
                </c:pt>
                <c:pt idx="15">
                  <c:v>14154</c:v>
                </c:pt>
                <c:pt idx="16">
                  <c:v>9457</c:v>
                </c:pt>
                <c:pt idx="17">
                  <c:v>10802</c:v>
                </c:pt>
                <c:pt idx="18">
                  <c:v>12669</c:v>
                </c:pt>
                <c:pt idx="19">
                  <c:v>15303</c:v>
                </c:pt>
                <c:pt idx="20">
                  <c:v>19230</c:v>
                </c:pt>
                <c:pt idx="21">
                  <c:v>19722</c:v>
                </c:pt>
                <c:pt idx="22">
                  <c:v>20890</c:v>
                </c:pt>
                <c:pt idx="23">
                  <c:v>21774</c:v>
                </c:pt>
              </c:numCache>
            </c:numRef>
          </c:val>
          <c:smooth val="0"/>
          <c:extLst>
            <c:ext xmlns:c16="http://schemas.microsoft.com/office/drawing/2014/chart" uri="{C3380CC4-5D6E-409C-BE32-E72D297353CC}">
              <c16:uniqueId val="{00000000-66B4-4CFF-8D60-00AFF9D53466}"/>
            </c:ext>
          </c:extLst>
        </c:ser>
        <c:ser>
          <c:idx val="1"/>
          <c:order val="1"/>
          <c:tx>
            <c:v>Deseasonalized Demand</c:v>
          </c:tx>
          <c:spPr>
            <a:ln w="34925" cap="rnd">
              <a:solidFill>
                <a:schemeClr val="accent2"/>
              </a:solidFill>
              <a:round/>
            </a:ln>
            <a:effectLst>
              <a:outerShdw blurRad="40000" dist="23000" dir="5400000" rotWithShape="0">
                <a:srgbClr val="000000">
                  <a:alpha val="35000"/>
                </a:srgbClr>
              </a:outerShdw>
            </a:effectLst>
          </c:spPr>
          <c:marker>
            <c:symbol val="none"/>
          </c:marker>
          <c:trendline>
            <c:spPr>
              <a:ln w="19050" cap="rnd">
                <a:solidFill>
                  <a:schemeClr val="accent2"/>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'Winter''s Model'!$E$11:$E$34</c:f>
              <c:numCache>
                <c:formatCode>General</c:formatCode>
                <c:ptCount val="24"/>
                <c:pt idx="6" formatCode="0">
                  <c:v>13831.625</c:v>
                </c:pt>
                <c:pt idx="7" formatCode="0">
                  <c:v>14065.958333333334</c:v>
                </c:pt>
                <c:pt idx="8" formatCode="0">
                  <c:v>14176.833333333334</c:v>
                </c:pt>
                <c:pt idx="9" formatCode="0">
                  <c:v>14364.666666666666</c:v>
                </c:pt>
                <c:pt idx="10" formatCode="0">
                  <c:v>14502.875</c:v>
                </c:pt>
                <c:pt idx="11" formatCode="0">
                  <c:v>14563.916666666666</c:v>
                </c:pt>
                <c:pt idx="12" formatCode="0">
                  <c:v>14539.458333333334</c:v>
                </c:pt>
                <c:pt idx="13" formatCode="0">
                  <c:v>14646.208333333334</c:v>
                </c:pt>
                <c:pt idx="14" formatCode="0">
                  <c:v>14994.5</c:v>
                </c:pt>
                <c:pt idx="15" formatCode="0">
                  <c:v>15336</c:v>
                </c:pt>
                <c:pt idx="16" formatCode="0">
                  <c:v>15692.791666666666</c:v>
                </c:pt>
                <c:pt idx="17" formatCode="0">
                  <c:v>15937.166666666666</c:v>
                </c:pt>
              </c:numCache>
            </c:numRef>
          </c:val>
          <c:smooth val="0"/>
          <c:extLst>
            <c:ext xmlns:c16="http://schemas.microsoft.com/office/drawing/2014/chart" uri="{C3380CC4-5D6E-409C-BE32-E72D297353CC}">
              <c16:uniqueId val="{00000001-66B4-4CFF-8D60-00AFF9D53466}"/>
            </c:ext>
          </c:extLst>
        </c:ser>
        <c:dLbls>
          <c:showLegendKey val="0"/>
          <c:showVal val="0"/>
          <c:showCatName val="0"/>
          <c:showSerName val="0"/>
          <c:showPercent val="0"/>
          <c:showBubbleSize val="0"/>
        </c:dLbls>
        <c:smooth val="0"/>
        <c:axId val="550006256"/>
        <c:axId val="550003304"/>
      </c:lineChart>
      <c:catAx>
        <c:axId val="550006256"/>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3304"/>
        <c:crosses val="autoZero"/>
        <c:auto val="1"/>
        <c:lblAlgn val="ctr"/>
        <c:lblOffset val="100"/>
        <c:noMultiLvlLbl val="0"/>
      </c:catAx>
      <c:valAx>
        <c:axId val="5500033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Doohickey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Demand</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'Aggregate Model'!$B$5:$B$16</c:f>
              <c:numCache>
                <c:formatCode>General_)</c:formatCode>
                <c:ptCount val="12"/>
                <c:pt idx="0">
                  <c:v>21478</c:v>
                </c:pt>
                <c:pt idx="1">
                  <c:v>17483</c:v>
                </c:pt>
                <c:pt idx="2">
                  <c:v>14995</c:v>
                </c:pt>
                <c:pt idx="3">
                  <c:v>15820</c:v>
                </c:pt>
                <c:pt idx="4">
                  <c:v>11082</c:v>
                </c:pt>
                <c:pt idx="5">
                  <c:v>12860</c:v>
                </c:pt>
                <c:pt idx="6">
                  <c:v>16317</c:v>
                </c:pt>
                <c:pt idx="7">
                  <c:v>16290</c:v>
                </c:pt>
                <c:pt idx="8">
                  <c:v>20531</c:v>
                </c:pt>
                <c:pt idx="9">
                  <c:v>21732</c:v>
                </c:pt>
                <c:pt idx="10">
                  <c:v>22251</c:v>
                </c:pt>
                <c:pt idx="11">
                  <c:v>25899</c:v>
                </c:pt>
              </c:numCache>
            </c:numRef>
          </c:val>
          <c:smooth val="0"/>
          <c:extLst>
            <c:ext xmlns:c16="http://schemas.microsoft.com/office/drawing/2014/chart" uri="{C3380CC4-5D6E-409C-BE32-E72D297353CC}">
              <c16:uniqueId val="{00000000-9779-480A-950D-71E2728112D8}"/>
            </c:ext>
          </c:extLst>
        </c:ser>
        <c:ser>
          <c:idx val="1"/>
          <c:order val="1"/>
          <c:tx>
            <c:v>Production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val>
            <c:numRef>
              <c:f>'Aggregate Model'!$H$5:$H$16</c:f>
              <c:numCache>
                <c:formatCode>0</c:formatCode>
                <c:ptCount val="12"/>
                <c:pt idx="0">
                  <c:v>19478</c:v>
                </c:pt>
                <c:pt idx="1">
                  <c:v>17483</c:v>
                </c:pt>
                <c:pt idx="2">
                  <c:v>15999.999999999996</c:v>
                </c:pt>
                <c:pt idx="3">
                  <c:v>15999.999999999998</c:v>
                </c:pt>
                <c:pt idx="4">
                  <c:v>15999.999999999998</c:v>
                </c:pt>
                <c:pt idx="5">
                  <c:v>16000</c:v>
                </c:pt>
                <c:pt idx="6">
                  <c:v>15999.999999999998</c:v>
                </c:pt>
                <c:pt idx="7">
                  <c:v>16977.000000000025</c:v>
                </c:pt>
                <c:pt idx="8">
                  <c:v>18000</c:v>
                </c:pt>
                <c:pt idx="9">
                  <c:v>17999.999999999996</c:v>
                </c:pt>
                <c:pt idx="10">
                  <c:v>23400</c:v>
                </c:pt>
                <c:pt idx="11">
                  <c:v>23399.999999999996</c:v>
                </c:pt>
              </c:numCache>
            </c:numRef>
          </c:val>
          <c:smooth val="0"/>
          <c:extLst>
            <c:ext xmlns:c16="http://schemas.microsoft.com/office/drawing/2014/chart" uri="{C3380CC4-5D6E-409C-BE32-E72D297353CC}">
              <c16:uniqueId val="{00000001-9779-480A-950D-71E2728112D8}"/>
            </c:ext>
          </c:extLst>
        </c:ser>
        <c:ser>
          <c:idx val="2"/>
          <c:order val="2"/>
          <c:tx>
            <c:v>Inventory</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'Aggregate Model'!$I$5:$I$16</c:f>
              <c:numCache>
                <c:formatCode>0</c:formatCode>
                <c:ptCount val="12"/>
                <c:pt idx="0">
                  <c:v>0</c:v>
                </c:pt>
                <c:pt idx="1">
                  <c:v>0</c:v>
                </c:pt>
                <c:pt idx="2">
                  <c:v>1004.9999999999967</c:v>
                </c:pt>
                <c:pt idx="3">
                  <c:v>1184.9999999999934</c:v>
                </c:pt>
                <c:pt idx="4">
                  <c:v>6102.9999999999891</c:v>
                </c:pt>
                <c:pt idx="5">
                  <c:v>9242.9999999999909</c:v>
                </c:pt>
                <c:pt idx="6">
                  <c:v>8925.9999999999891</c:v>
                </c:pt>
                <c:pt idx="7">
                  <c:v>9613.0000000000073</c:v>
                </c:pt>
                <c:pt idx="8">
                  <c:v>7082.0000000000164</c:v>
                </c:pt>
                <c:pt idx="9">
                  <c:v>3350.0000000000073</c:v>
                </c:pt>
                <c:pt idx="10">
                  <c:v>4499.0000000000027</c:v>
                </c:pt>
                <c:pt idx="11">
                  <c:v>2000</c:v>
                </c:pt>
              </c:numCache>
            </c:numRef>
          </c:val>
          <c:smooth val="0"/>
          <c:extLst>
            <c:ext xmlns:c16="http://schemas.microsoft.com/office/drawing/2014/chart" uri="{C3380CC4-5D6E-409C-BE32-E72D297353CC}">
              <c16:uniqueId val="{00000002-9779-480A-950D-71E2728112D8}"/>
            </c:ext>
          </c:extLst>
        </c:ser>
        <c:dLbls>
          <c:showLegendKey val="0"/>
          <c:showVal val="0"/>
          <c:showCatName val="0"/>
          <c:showSerName val="0"/>
          <c:showPercent val="0"/>
          <c:showBubbleSize val="0"/>
        </c:dLbls>
        <c:marker val="1"/>
        <c:smooth val="0"/>
        <c:axId val="215189408"/>
        <c:axId val="215185472"/>
      </c:lineChart>
      <c:catAx>
        <c:axId val="215189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5185472"/>
        <c:crosses val="autoZero"/>
        <c:auto val="1"/>
        <c:lblAlgn val="ctr"/>
        <c:lblOffset val="100"/>
        <c:noMultiLvlLbl val="0"/>
      </c:catAx>
      <c:valAx>
        <c:axId val="215185472"/>
        <c:scaling>
          <c:orientation val="minMax"/>
        </c:scaling>
        <c:delete val="0"/>
        <c:axPos val="l"/>
        <c:numFmt formatCode="General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89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a:t>
            </a:r>
            <a:r>
              <a:rPr lang="en-US" baseline="0"/>
              <a:t> VS COST VS Profit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'Aggregate Model'!$I$35</c:f>
              <c:strCache>
                <c:ptCount val="1"/>
                <c:pt idx="0">
                  <c:v>Revenue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'Aggregate Model'!$H$36:$H$47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'Aggregate Model'!$I$36:$I$47</c:f>
              <c:numCache>
                <c:formatCode>"$"#,##0</c:formatCode>
                <c:ptCount val="12"/>
                <c:pt idx="0">
                  <c:v>1396070</c:v>
                </c:pt>
                <c:pt idx="1">
                  <c:v>1136395</c:v>
                </c:pt>
                <c:pt idx="2">
                  <c:v>974675</c:v>
                </c:pt>
                <c:pt idx="3">
                  <c:v>1028300</c:v>
                </c:pt>
                <c:pt idx="4">
                  <c:v>720330</c:v>
                </c:pt>
                <c:pt idx="5">
                  <c:v>835900</c:v>
                </c:pt>
                <c:pt idx="6">
                  <c:v>1060605</c:v>
                </c:pt>
                <c:pt idx="7">
                  <c:v>1058850</c:v>
                </c:pt>
                <c:pt idx="8">
                  <c:v>1334515</c:v>
                </c:pt>
                <c:pt idx="9">
                  <c:v>1412580</c:v>
                </c:pt>
                <c:pt idx="10">
                  <c:v>1446315</c:v>
                </c:pt>
                <c:pt idx="11">
                  <c:v>1683435</c:v>
                </c:pt>
              </c:numCache>
            </c:numRef>
          </c:val>
          <c:smooth val="0"/>
          <c:extLst>
            <c:ext xmlns:c16="http://schemas.microsoft.com/office/drawing/2014/chart" uri="{C3380CC4-5D6E-409C-BE32-E72D297353CC}">
              <c16:uniqueId val="{00000000-939A-49FB-9B17-28ADDF5C2483}"/>
            </c:ext>
          </c:extLst>
        </c:ser>
        <c:ser>
          <c:idx val="1"/>
          <c:order val="1"/>
          <c:tx>
            <c:strRef>
              <c:f>'Aggregate Model'!$J$35</c:f>
              <c:strCache>
                <c:ptCount val="1"/>
                <c:pt idx="0">
                  <c:v>Costs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'Aggregate Model'!$H$36:$H$47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'Aggregate Model'!$J$36:$J$47</c:f>
              <c:numCache>
                <c:formatCode>_("$"* #,##0_);_("$"* \(#,##0\);_("$"* "-"??_);_(@_)</c:formatCode>
                <c:ptCount val="12"/>
                <c:pt idx="0">
                  <c:v>931952.2</c:v>
                </c:pt>
                <c:pt idx="1">
                  <c:v>833351.7</c:v>
                </c:pt>
                <c:pt idx="2">
                  <c:v>760194.19999999972</c:v>
                </c:pt>
                <c:pt idx="3">
                  <c:v>760345.39999999991</c:v>
                </c:pt>
                <c:pt idx="4">
                  <c:v>764476.5199999999</c:v>
                </c:pt>
                <c:pt idx="5">
                  <c:v>767114.12</c:v>
                </c:pt>
                <c:pt idx="6">
                  <c:v>766847.83999999985</c:v>
                </c:pt>
                <c:pt idx="7">
                  <c:v>821062.22000000149</c:v>
                </c:pt>
                <c:pt idx="8">
                  <c:v>867771.37999999977</c:v>
                </c:pt>
                <c:pt idx="9">
                  <c:v>856963.99999999977</c:v>
                </c:pt>
                <c:pt idx="10">
                  <c:v>1127389.1599999999</c:v>
                </c:pt>
                <c:pt idx="11">
                  <c:v>1125289.9999999998</c:v>
                </c:pt>
              </c:numCache>
            </c:numRef>
          </c:val>
          <c:smooth val="0"/>
          <c:extLst>
            <c:ext xmlns:c16="http://schemas.microsoft.com/office/drawing/2014/chart" uri="{C3380CC4-5D6E-409C-BE32-E72D297353CC}">
              <c16:uniqueId val="{00000001-939A-49FB-9B17-28ADDF5C2483}"/>
            </c:ext>
          </c:extLst>
        </c:ser>
        <c:ser>
          <c:idx val="2"/>
          <c:order val="2"/>
          <c:tx>
            <c:strRef>
              <c:f>'Aggregate Model'!$K$35</c:f>
              <c:strCache>
                <c:ptCount val="1"/>
                <c:pt idx="0">
                  <c:v>Profit</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'Aggregate Model'!$H$36:$H$47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'Aggregate Model'!$K$36:$K$47</c:f>
              <c:numCache>
                <c:formatCode>"$"#,##0</c:formatCode>
                <c:ptCount val="12"/>
                <c:pt idx="0">
                  <c:v>464117.80000000005</c:v>
                </c:pt>
                <c:pt idx="1">
                  <c:v>303043.30000000005</c:v>
                </c:pt>
                <c:pt idx="2">
                  <c:v>214480.80000000028</c:v>
                </c:pt>
                <c:pt idx="3">
                  <c:v>267954.60000000009</c:v>
                </c:pt>
                <c:pt idx="4">
                  <c:v>-44146.519999999902</c:v>
                </c:pt>
                <c:pt idx="5">
                  <c:v>68785.88</c:v>
                </c:pt>
                <c:pt idx="6">
                  <c:v>293757.16000000015</c:v>
                </c:pt>
                <c:pt idx="7">
                  <c:v>237787.77999999851</c:v>
                </c:pt>
                <c:pt idx="8">
                  <c:v>466743.62000000023</c:v>
                </c:pt>
                <c:pt idx="9">
                  <c:v>555616.00000000023</c:v>
                </c:pt>
                <c:pt idx="10">
                  <c:v>318925.84000000008</c:v>
                </c:pt>
                <c:pt idx="11">
                  <c:v>558145.00000000023</c:v>
                </c:pt>
              </c:numCache>
            </c:numRef>
          </c:val>
          <c:smooth val="0"/>
          <c:extLst>
            <c:ext xmlns:c16="http://schemas.microsoft.com/office/drawing/2014/chart" uri="{C3380CC4-5D6E-409C-BE32-E72D297353CC}">
              <c16:uniqueId val="{00000002-939A-49FB-9B17-28ADDF5C2483}"/>
            </c:ext>
          </c:extLst>
        </c:ser>
        <c:dLbls>
          <c:showLegendKey val="0"/>
          <c:showVal val="0"/>
          <c:showCatName val="0"/>
          <c:showSerName val="0"/>
          <c:showPercent val="0"/>
          <c:showBubbleSize val="0"/>
        </c:dLbls>
        <c:marker val="1"/>
        <c:smooth val="0"/>
        <c:axId val="537298304"/>
        <c:axId val="537298632"/>
      </c:lineChart>
      <c:catAx>
        <c:axId val="53729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7298632"/>
        <c:crosses val="autoZero"/>
        <c:auto val="1"/>
        <c:lblAlgn val="ctr"/>
        <c:lblOffset val="100"/>
        <c:noMultiLvlLbl val="0"/>
      </c:catAx>
      <c:valAx>
        <c:axId val="537298632"/>
        <c:scaling>
          <c:orientation val="minMax"/>
        </c:scaling>
        <c:delete val="0"/>
        <c:axPos val="l"/>
        <c:numFmt formatCode="&quot;$&quot;#,##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98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9525</xdr:colOff>
      <xdr:row>19</xdr:row>
      <xdr:rowOff>9525</xdr:rowOff>
    </xdr:from>
    <xdr:to>
      <xdr:col>23</xdr:col>
      <xdr:colOff>314325</xdr:colOff>
      <xdr:row>35</xdr:row>
      <xdr:rowOff>111125</xdr:rowOff>
    </xdr:to>
    <xdr:graphicFrame macro="">
      <xdr:nvGraphicFramePr>
        <xdr:cNvPr id="5" name="Chart 4">
          <a:extLst>
            <a:ext uri="{FF2B5EF4-FFF2-40B4-BE49-F238E27FC236}">
              <a16:creationId xmlns:a16="http://schemas.microsoft.com/office/drawing/2014/main" id="{E6DF384B-7DC3-43B9-9466-C7A9C293F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6350</xdr:colOff>
      <xdr:row>4</xdr:row>
      <xdr:rowOff>114300</xdr:rowOff>
    </xdr:from>
    <xdr:to>
      <xdr:col>23</xdr:col>
      <xdr:colOff>311150</xdr:colOff>
      <xdr:row>18</xdr:row>
      <xdr:rowOff>158750</xdr:rowOff>
    </xdr:to>
    <xdr:graphicFrame macro="">
      <xdr:nvGraphicFramePr>
        <xdr:cNvPr id="7" name="Chart 6">
          <a:extLst>
            <a:ext uri="{FF2B5EF4-FFF2-40B4-BE49-F238E27FC236}">
              <a16:creationId xmlns:a16="http://schemas.microsoft.com/office/drawing/2014/main" id="{E12DCDEE-94CE-4886-9229-FA4BA57C7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9</xdr:col>
      <xdr:colOff>38100</xdr:colOff>
      <xdr:row>9</xdr:row>
      <xdr:rowOff>25400</xdr:rowOff>
    </xdr:from>
    <xdr:ext cx="65" cy="172227"/>
    <xdr:sp macro="" textlink="">
      <xdr:nvSpPr>
        <xdr:cNvPr id="2" name="TextBox 1">
          <a:extLst>
            <a:ext uri="{FF2B5EF4-FFF2-40B4-BE49-F238E27FC236}">
              <a16:creationId xmlns:a16="http://schemas.microsoft.com/office/drawing/2014/main" id="{C7BF82E3-6568-4B91-BC86-7E6EA54BF6CD}"/>
            </a:ext>
          </a:extLst>
        </xdr:cNvPr>
        <xdr:cNvSpPr txBox="1"/>
      </xdr:nvSpPr>
      <xdr:spPr>
        <a:xfrm>
          <a:off x="5530850" y="151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9</xdr:col>
      <xdr:colOff>38100</xdr:colOff>
      <xdr:row>9</xdr:row>
      <xdr:rowOff>25400</xdr:rowOff>
    </xdr:from>
    <xdr:ext cx="65" cy="172227"/>
    <xdr:sp macro="" textlink="">
      <xdr:nvSpPr>
        <xdr:cNvPr id="3" name="TextBox 2">
          <a:extLst>
            <a:ext uri="{FF2B5EF4-FFF2-40B4-BE49-F238E27FC236}">
              <a16:creationId xmlns:a16="http://schemas.microsoft.com/office/drawing/2014/main" id="{D0E08251-014F-482D-8D8D-C5D6393F0E02}"/>
            </a:ext>
          </a:extLst>
        </xdr:cNvPr>
        <xdr:cNvSpPr txBox="1"/>
      </xdr:nvSpPr>
      <xdr:spPr>
        <a:xfrm>
          <a:off x="5530850" y="151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0</xdr:col>
      <xdr:colOff>7620</xdr:colOff>
      <xdr:row>5</xdr:row>
      <xdr:rowOff>156210</xdr:rowOff>
    </xdr:from>
    <xdr:ext cx="1664366" cy="18845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48F44C5-3325-4EC1-AF0F-83EE87B807E7}"/>
                </a:ext>
              </a:extLst>
            </xdr:cNvPr>
            <xdr:cNvSpPr txBox="1"/>
          </xdr:nvSpPr>
          <xdr:spPr>
            <a:xfrm>
              <a:off x="7620" y="1146810"/>
              <a:ext cx="1664366" cy="18845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IN" sz="1100" i="1">
                          <a:latin typeface="Cambria Math" panose="02040503050406030204" pitchFamily="18" charset="0"/>
                        </a:rPr>
                      </m:ctrlPr>
                    </m:sSubPr>
                    <m:e>
                      <m:r>
                        <a:rPr lang="en-IN" sz="110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𝐿</m:t>
                      </m:r>
                    </m:sub>
                  </m:sSub>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𝐿</m:t>
                  </m:r>
                </m:oMath>
              </a14:m>
              <a:r>
                <a:rPr lang="en-IN" sz="1100"/>
                <a:t> *  </a:t>
              </a:r>
              <a14:m>
                <m:oMath xmlns:m="http://schemas.openxmlformats.org/officeDocument/2006/math">
                  <m:sSub>
                    <m:sSubPr>
                      <m:ctrlPr>
                        <a:rPr lang="en-IN" sz="1100" i="1">
                          <a:latin typeface="Cambria Math" panose="02040503050406030204" pitchFamily="18" charset="0"/>
                        </a:rPr>
                      </m:ctrlPr>
                    </m:sSubPr>
                    <m:e>
                      <m:r>
                        <a:rPr lang="en-IN" sz="110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𝐷</m:t>
                      </m:r>
                    </m:sub>
                  </m:sSub>
                </m:oMath>
              </a14:m>
              <a:r>
                <a:rPr lang="en-IN" sz="1100"/>
                <a:t> = </a:t>
              </a:r>
              <a14:m>
                <m:oMath xmlns:m="http://schemas.openxmlformats.org/officeDocument/2006/math">
                  <m:r>
                    <a:rPr lang="en-IN"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m:t>
                  </m:r>
                </m:oMath>
              </a14:m>
              <a:r>
                <a:rPr lang="en-IN" sz="1100"/>
                <a:t> * 1014   </a:t>
              </a:r>
            </a:p>
          </xdr:txBody>
        </xdr:sp>
      </mc:Choice>
      <mc:Fallback xmlns="">
        <xdr:sp macro="" textlink="">
          <xdr:nvSpPr>
            <xdr:cNvPr id="4" name="TextBox 3">
              <a:extLst>
                <a:ext uri="{FF2B5EF4-FFF2-40B4-BE49-F238E27FC236}">
                  <a16:creationId xmlns:a16="http://schemas.microsoft.com/office/drawing/2014/main" id="{048F44C5-3325-4EC1-AF0F-83EE87B807E7}"/>
                </a:ext>
              </a:extLst>
            </xdr:cNvPr>
            <xdr:cNvSpPr txBox="1"/>
          </xdr:nvSpPr>
          <xdr:spPr>
            <a:xfrm>
              <a:off x="7620" y="1146810"/>
              <a:ext cx="1664366" cy="18845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𝐿= </a:t>
              </a:r>
              <a:r>
                <a:rPr lang="en-US" sz="1100" b="0" i="0">
                  <a:latin typeface="Cambria Math" panose="02040503050406030204" pitchFamily="18" charset="0"/>
                  <a:ea typeface="Cambria Math" panose="02040503050406030204" pitchFamily="18" charset="0"/>
                </a:rPr>
                <a:t>√𝐿</a:t>
              </a:r>
              <a:r>
                <a:rPr lang="en-IN" sz="1100"/>
                <a:t> *  </a:t>
              </a:r>
              <a:r>
                <a:rPr lang="en-IN" sz="110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𝐷</a:t>
              </a:r>
              <a:r>
                <a:rPr lang="en-IN" sz="1100"/>
                <a:t> = </a:t>
              </a:r>
              <a:r>
                <a:rPr lang="en-IN"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a:t>
              </a:r>
              <a:r>
                <a:rPr lang="en-IN" sz="1100"/>
                <a:t> * 1014   </a:t>
              </a:r>
            </a:p>
          </xdr:txBody>
        </xdr:sp>
      </mc:Fallback>
    </mc:AlternateContent>
    <xdr:clientData/>
  </xdr:oneCellAnchor>
  <xdr:oneCellAnchor>
    <xdr:from>
      <xdr:col>0</xdr:col>
      <xdr:colOff>30480</xdr:colOff>
      <xdr:row>10</xdr:row>
      <xdr:rowOff>163830</xdr:rowOff>
    </xdr:from>
    <xdr:ext cx="1045671"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83F8B11-4AD2-430C-BF71-5E1687ECBE68}"/>
                </a:ext>
              </a:extLst>
            </xdr:cNvPr>
            <xdr:cNvSpPr txBox="1"/>
          </xdr:nvSpPr>
          <xdr:spPr>
            <a:xfrm>
              <a:off x="30480" y="1979930"/>
              <a:ext cx="10456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𝐸𝑆𝐶</m:t>
                    </m:r>
                    <m:r>
                      <a:rPr lang="en-US" sz="1100" b="0" i="1">
                        <a:latin typeface="Cambria Math" panose="02040503050406030204" pitchFamily="18" charset="0"/>
                      </a:rPr>
                      <m:t>=</m:t>
                    </m:r>
                    <m:r>
                      <a:rPr lang="en-US" sz="1100" b="0" i="1">
                        <a:latin typeface="Cambria Math" panose="02040503050406030204" pitchFamily="18" charset="0"/>
                      </a:rPr>
                      <m:t>𝑁</m:t>
                    </m:r>
                    <m:d>
                      <m:dPr>
                        <m:begChr m:val="["/>
                        <m:endChr m:val="]"/>
                        <m:ctrlPr>
                          <a:rPr lang="en-US" sz="1100" b="0" i="1">
                            <a:latin typeface="Cambria Math" panose="02040503050406030204" pitchFamily="18" charset="0"/>
                          </a:rPr>
                        </m:ctrlPr>
                      </m:dPr>
                      <m:e>
                        <m:r>
                          <a:rPr lang="en-US" sz="1100" b="0" i="1">
                            <a:latin typeface="Cambria Math" panose="02040503050406030204" pitchFamily="18" charset="0"/>
                          </a:rPr>
                          <m:t>𝐾</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𝐿</m:t>
                        </m:r>
                      </m:sub>
                    </m:sSub>
                  </m:oMath>
                </m:oMathPara>
              </a14:m>
              <a:endParaRPr lang="en-IN" sz="1100"/>
            </a:p>
          </xdr:txBody>
        </xdr:sp>
      </mc:Choice>
      <mc:Fallback xmlns="">
        <xdr:sp macro="" textlink="">
          <xdr:nvSpPr>
            <xdr:cNvPr id="5" name="TextBox 4">
              <a:extLst>
                <a:ext uri="{FF2B5EF4-FFF2-40B4-BE49-F238E27FC236}">
                  <a16:creationId xmlns:a16="http://schemas.microsoft.com/office/drawing/2014/main" id="{B83F8B11-4AD2-430C-BF71-5E1687ECBE68}"/>
                </a:ext>
              </a:extLst>
            </xdr:cNvPr>
            <xdr:cNvSpPr txBox="1"/>
          </xdr:nvSpPr>
          <xdr:spPr>
            <a:xfrm>
              <a:off x="30480" y="1979930"/>
              <a:ext cx="10456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𝐸𝑆𝐶=𝑁[𝐾]∗</a:t>
              </a:r>
              <a:r>
                <a:rPr lang="en-US" sz="1100" b="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𝐿</a:t>
              </a:r>
              <a:endParaRPr lang="en-IN" sz="1100"/>
            </a:p>
          </xdr:txBody>
        </xdr:sp>
      </mc:Fallback>
    </mc:AlternateContent>
    <xdr:clientData/>
  </xdr:oneCellAnchor>
  <xdr:oneCellAnchor>
    <xdr:from>
      <xdr:col>0</xdr:col>
      <xdr:colOff>45720</xdr:colOff>
      <xdr:row>13</xdr:row>
      <xdr:rowOff>34290</xdr:rowOff>
    </xdr:from>
    <xdr:ext cx="777072" cy="3457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598CD2F-E29F-4612-8A59-AA8BA5529AB1}"/>
                </a:ext>
              </a:extLst>
            </xdr:cNvPr>
            <xdr:cNvSpPr txBox="1"/>
          </xdr:nvSpPr>
          <xdr:spPr>
            <a:xfrm>
              <a:off x="45720" y="2345690"/>
              <a:ext cx="777072" cy="34573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𝑁</m:t>
                    </m:r>
                    <m:d>
                      <m:dPr>
                        <m:begChr m:val="["/>
                        <m:endChr m:val="]"/>
                        <m:ctrlPr>
                          <a:rPr lang="en-US" sz="1100" b="0" i="1">
                            <a:latin typeface="Cambria Math" panose="02040503050406030204" pitchFamily="18" charset="0"/>
                          </a:rPr>
                        </m:ctrlPr>
                      </m:dPr>
                      <m:e>
                        <m:r>
                          <a:rPr lang="en-US" sz="1100" b="0" i="1">
                            <a:latin typeface="Cambria Math" panose="02040503050406030204" pitchFamily="18" charset="0"/>
                          </a:rPr>
                          <m:t>𝐾</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𝐸𝑆𝐶</m:t>
                        </m:r>
                      </m:num>
                      <m:den>
                        <m:sSub>
                          <m:sSubPr>
                            <m:ctrlPr>
                              <a:rPr lang="en-US" sz="1100" b="0" i="1">
                                <a:latin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𝐿</m:t>
                            </m:r>
                            <m:r>
                              <a:rPr lang="en-US" sz="1100" b="0" i="1">
                                <a:latin typeface="Cambria Math" panose="02040503050406030204" pitchFamily="18" charset="0"/>
                              </a:rPr>
                              <m:t> </m:t>
                            </m:r>
                          </m:sub>
                        </m:sSub>
                      </m:den>
                    </m:f>
                  </m:oMath>
                </m:oMathPara>
              </a14:m>
              <a:endParaRPr lang="en-IN" sz="1100"/>
            </a:p>
          </xdr:txBody>
        </xdr:sp>
      </mc:Choice>
      <mc:Fallback xmlns="">
        <xdr:sp macro="" textlink="">
          <xdr:nvSpPr>
            <xdr:cNvPr id="6" name="TextBox 5">
              <a:extLst>
                <a:ext uri="{FF2B5EF4-FFF2-40B4-BE49-F238E27FC236}">
                  <a16:creationId xmlns:a16="http://schemas.microsoft.com/office/drawing/2014/main" id="{F598CD2F-E29F-4612-8A59-AA8BA5529AB1}"/>
                </a:ext>
              </a:extLst>
            </xdr:cNvPr>
            <xdr:cNvSpPr txBox="1"/>
          </xdr:nvSpPr>
          <xdr:spPr>
            <a:xfrm>
              <a:off x="45720" y="2345690"/>
              <a:ext cx="777072" cy="34573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𝑁[𝐾]=𝐸𝑆𝐶/</a:t>
              </a:r>
              <a:r>
                <a:rPr lang="en-US" sz="1100" b="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𝐿 ) </a:t>
              </a:r>
              <a:endParaRPr lang="en-IN" sz="1100"/>
            </a:p>
          </xdr:txBody>
        </xdr:sp>
      </mc:Fallback>
    </mc:AlternateContent>
    <xdr:clientData/>
  </xdr:oneCellAnchor>
  <xdr:oneCellAnchor>
    <xdr:from>
      <xdr:col>0</xdr:col>
      <xdr:colOff>7620</xdr:colOff>
      <xdr:row>20</xdr:row>
      <xdr:rowOff>163830</xdr:rowOff>
    </xdr:from>
    <xdr:ext cx="997324"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8F33A92-C077-4431-ACBC-B5F1CAD7E157}"/>
                </a:ext>
              </a:extLst>
            </xdr:cNvPr>
            <xdr:cNvSpPr txBox="1"/>
          </xdr:nvSpPr>
          <xdr:spPr>
            <a:xfrm>
              <a:off x="7620" y="3630930"/>
              <a:ext cx="997324" cy="1722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𝑅𝑂𝑃</m:t>
                    </m:r>
                    <m:r>
                      <a:rPr lang="en-US" sz="1100" b="0" i="1">
                        <a:latin typeface="Cambria Math" panose="02040503050406030204" pitchFamily="18" charset="0"/>
                      </a:rPr>
                      <m:t>=</m:t>
                    </m:r>
                    <m:r>
                      <a:rPr lang="en-US" sz="1100" b="0" i="1">
                        <a:latin typeface="Cambria Math" panose="02040503050406030204" pitchFamily="18" charset="0"/>
                      </a:rPr>
                      <m:t>𝑆𝑆</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𝐿</m:t>
                        </m:r>
                      </m:sub>
                    </m:sSub>
                  </m:oMath>
                </m:oMathPara>
              </a14:m>
              <a:endParaRPr lang="en-IN" sz="1100"/>
            </a:p>
          </xdr:txBody>
        </xdr:sp>
      </mc:Choice>
      <mc:Fallback xmlns="">
        <xdr:sp macro="" textlink="">
          <xdr:nvSpPr>
            <xdr:cNvPr id="7" name="TextBox 6">
              <a:extLst>
                <a:ext uri="{FF2B5EF4-FFF2-40B4-BE49-F238E27FC236}">
                  <a16:creationId xmlns:a16="http://schemas.microsoft.com/office/drawing/2014/main" id="{A8F33A92-C077-4431-ACBC-B5F1CAD7E157}"/>
                </a:ext>
              </a:extLst>
            </xdr:cNvPr>
            <xdr:cNvSpPr txBox="1"/>
          </xdr:nvSpPr>
          <xdr:spPr>
            <a:xfrm>
              <a:off x="7620" y="3630930"/>
              <a:ext cx="997324" cy="1722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𝑅𝑂𝑃=𝑆𝑆+ 𝐷_𝐿</a:t>
              </a:r>
              <a:endParaRPr lang="en-IN" sz="1100"/>
            </a:p>
          </xdr:txBody>
        </xdr:sp>
      </mc:Fallback>
    </mc:AlternateContent>
    <xdr:clientData/>
  </xdr:oneCellAnchor>
  <xdr:oneCellAnchor>
    <xdr:from>
      <xdr:col>0</xdr:col>
      <xdr:colOff>0</xdr:colOff>
      <xdr:row>24</xdr:row>
      <xdr:rowOff>3810</xdr:rowOff>
    </xdr:from>
    <xdr:ext cx="1270669"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2139E2A-DB04-4EF2-9066-B0F506FEAF38}"/>
                </a:ext>
              </a:extLst>
            </xdr:cNvPr>
            <xdr:cNvSpPr txBox="1"/>
          </xdr:nvSpPr>
          <xdr:spPr>
            <a:xfrm>
              <a:off x="0" y="4131310"/>
              <a:ext cx="1270669" cy="1722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panose="02040503050406030204" pitchFamily="18" charset="0"/>
                          </a:rPr>
                        </m:ctrlPr>
                      </m:sSupPr>
                      <m:e>
                        <m:r>
                          <a:rPr lang="en-US" sz="1100" b="0" i="1">
                            <a:latin typeface="Cambria Math" panose="02040503050406030204" pitchFamily="18" charset="0"/>
                          </a:rPr>
                          <m:t>𝐶𝑆𝐿</m:t>
                        </m:r>
                      </m:e>
                      <m:sup>
                        <m:r>
                          <a:rPr lang="en-US" sz="1100" b="0" i="1">
                            <a:latin typeface="Cambria Math" panose="02040503050406030204" pitchFamily="18" charset="0"/>
                          </a:rPr>
                          <m:t>∗</m:t>
                        </m:r>
                      </m:sup>
                    </m:sSup>
                    <m:r>
                      <a:rPr lang="en-US" sz="1100" b="0" i="1">
                        <a:latin typeface="Cambria Math" panose="02040503050406030204" pitchFamily="18" charset="0"/>
                      </a:rPr>
                      <m:t>=1−</m:t>
                    </m:r>
                    <m:r>
                      <a:rPr lang="en-US" sz="1100" b="0" i="1">
                        <a:latin typeface="Cambria Math" panose="02040503050406030204" pitchFamily="18" charset="0"/>
                      </a:rPr>
                      <m:t>𝐻𝑄</m:t>
                    </m:r>
                    <m:r>
                      <a:rPr lang="en-US" sz="1100" b="0" i="1">
                        <a:latin typeface="Cambria Math" panose="02040503050406030204" pitchFamily="18" charset="0"/>
                      </a:rPr>
                      <m:t>/</m:t>
                    </m:r>
                    <m:r>
                      <a:rPr lang="en-US" sz="1100" b="0" i="1">
                        <a:latin typeface="Cambria Math" panose="02040503050406030204" pitchFamily="18" charset="0"/>
                      </a:rPr>
                      <m:t>𝐷</m:t>
                    </m:r>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𝐵</m:t>
                        </m:r>
                      </m:sub>
                    </m:sSub>
                  </m:oMath>
                </m:oMathPara>
              </a14:m>
              <a:endParaRPr lang="en-IN" sz="1100"/>
            </a:p>
          </xdr:txBody>
        </xdr:sp>
      </mc:Choice>
      <mc:Fallback xmlns="">
        <xdr:sp macro="" textlink="">
          <xdr:nvSpPr>
            <xdr:cNvPr id="8" name="TextBox 7">
              <a:extLst>
                <a:ext uri="{FF2B5EF4-FFF2-40B4-BE49-F238E27FC236}">
                  <a16:creationId xmlns:a16="http://schemas.microsoft.com/office/drawing/2014/main" id="{62139E2A-DB04-4EF2-9066-B0F506FEAF38}"/>
                </a:ext>
              </a:extLst>
            </xdr:cNvPr>
            <xdr:cNvSpPr txBox="1"/>
          </xdr:nvSpPr>
          <xdr:spPr>
            <a:xfrm>
              <a:off x="0" y="4131310"/>
              <a:ext cx="1270669" cy="1722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100" i="0">
                  <a:latin typeface="Cambria Math" panose="02040503050406030204" pitchFamily="18" charset="0"/>
                </a:rPr>
                <a:t>〖</a:t>
              </a:r>
              <a:r>
                <a:rPr lang="en-US" sz="1100" b="0" i="0">
                  <a:latin typeface="Cambria Math" panose="02040503050406030204" pitchFamily="18" charset="0"/>
                </a:rPr>
                <a:t>𝐶𝑆𝐿</a:t>
              </a:r>
              <a:r>
                <a:rPr lang="en-IN" sz="1100" b="0" i="0">
                  <a:latin typeface="Cambria Math" panose="02040503050406030204" pitchFamily="18" charset="0"/>
                </a:rPr>
                <a:t>〗^</a:t>
              </a:r>
              <a:r>
                <a:rPr lang="en-US" sz="1100" b="0" i="0">
                  <a:latin typeface="Cambria Math" panose="02040503050406030204" pitchFamily="18" charset="0"/>
                </a:rPr>
                <a:t>∗=1−𝐻𝑄/𝐷𝐶_𝐵</a:t>
              </a:r>
              <a:endParaRPr lang="en-IN" sz="1100"/>
            </a:p>
          </xdr:txBody>
        </xdr:sp>
      </mc:Fallback>
    </mc:AlternateContent>
    <xdr:clientData/>
  </xdr:oneCellAnchor>
  <xdr:oneCellAnchor>
    <xdr:from>
      <xdr:col>0</xdr:col>
      <xdr:colOff>30480</xdr:colOff>
      <xdr:row>26</xdr:row>
      <xdr:rowOff>163830</xdr:rowOff>
    </xdr:from>
    <xdr:ext cx="176971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16EDAEC-685B-40CE-B4A5-A61FB3FF6855}"/>
                </a:ext>
              </a:extLst>
            </xdr:cNvPr>
            <xdr:cNvSpPr txBox="1"/>
          </xdr:nvSpPr>
          <xdr:spPr>
            <a:xfrm>
              <a:off x="30480" y="4621530"/>
              <a:ext cx="1769715" cy="1722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panose="02040503050406030204" pitchFamily="18" charset="0"/>
                          </a:rPr>
                        </m:ctrlPr>
                      </m:sSupPr>
                      <m:e>
                        <m:r>
                          <a:rPr lang="en-US" sz="1100" b="0" i="1">
                            <a:latin typeface="Cambria Math" panose="02040503050406030204" pitchFamily="18" charset="0"/>
                          </a:rPr>
                          <m:t>𝐶𝑆𝐿</m:t>
                        </m:r>
                      </m:e>
                      <m:sup>
                        <m:r>
                          <a:rPr lang="en-US" sz="1100" b="0" i="1">
                            <a:latin typeface="Cambria Math" panose="02040503050406030204" pitchFamily="18" charset="0"/>
                          </a:rPr>
                          <m:t>∗</m:t>
                        </m:r>
                      </m:sup>
                    </m:sSup>
                    <m:r>
                      <a:rPr lang="en-US" sz="1100" b="0" i="1">
                        <a:latin typeface="Cambria Math" panose="02040503050406030204" pitchFamily="18" charset="0"/>
                      </a:rPr>
                      <m:t>=0.9032(</m:t>
                    </m:r>
                    <m:r>
                      <a:rPr lang="en-US" sz="1100" b="0" i="1">
                        <a:latin typeface="Cambria Math" panose="02040503050406030204" pitchFamily="18" charset="0"/>
                      </a:rPr>
                      <m:t>𝐹𝑟𝑜𝑚</m:t>
                    </m:r>
                    <m:r>
                      <a:rPr lang="en-US" sz="1100" b="0" i="1">
                        <a:latin typeface="Cambria Math" panose="02040503050406030204" pitchFamily="18" charset="0"/>
                      </a:rPr>
                      <m:t> </m:t>
                    </m:r>
                    <m:r>
                      <a:rPr lang="en-US" sz="1100" b="0" i="1">
                        <a:latin typeface="Cambria Math" panose="02040503050406030204" pitchFamily="18" charset="0"/>
                      </a:rPr>
                      <m:t>𝑇𝑎𝑏𝑙𝑒</m:t>
                    </m:r>
                    <m:r>
                      <a:rPr lang="en-US" sz="1100" b="0" i="1">
                        <a:latin typeface="Cambria Math" panose="02040503050406030204" pitchFamily="18" charset="0"/>
                      </a:rPr>
                      <m:t>)</m:t>
                    </m:r>
                  </m:oMath>
                </m:oMathPara>
              </a14:m>
              <a:endParaRPr lang="en-IN" sz="1100"/>
            </a:p>
          </xdr:txBody>
        </xdr:sp>
      </mc:Choice>
      <mc:Fallback xmlns="">
        <xdr:sp macro="" textlink="">
          <xdr:nvSpPr>
            <xdr:cNvPr id="9" name="TextBox 8">
              <a:extLst>
                <a:ext uri="{FF2B5EF4-FFF2-40B4-BE49-F238E27FC236}">
                  <a16:creationId xmlns:a16="http://schemas.microsoft.com/office/drawing/2014/main" id="{816EDAEC-685B-40CE-B4A5-A61FB3FF6855}"/>
                </a:ext>
              </a:extLst>
            </xdr:cNvPr>
            <xdr:cNvSpPr txBox="1"/>
          </xdr:nvSpPr>
          <xdr:spPr>
            <a:xfrm>
              <a:off x="30480" y="4621530"/>
              <a:ext cx="1769715" cy="17222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100" i="0">
                  <a:latin typeface="Cambria Math" panose="02040503050406030204" pitchFamily="18" charset="0"/>
                </a:rPr>
                <a:t>〖</a:t>
              </a:r>
              <a:r>
                <a:rPr lang="en-US" sz="1100" b="0" i="0">
                  <a:latin typeface="Cambria Math" panose="02040503050406030204" pitchFamily="18" charset="0"/>
                </a:rPr>
                <a:t>𝐶𝑆𝐿</a:t>
              </a:r>
              <a:r>
                <a:rPr lang="en-IN" sz="1100" b="0" i="0">
                  <a:latin typeface="Cambria Math" panose="02040503050406030204" pitchFamily="18" charset="0"/>
                </a:rPr>
                <a:t>〗^</a:t>
              </a:r>
              <a:r>
                <a:rPr lang="en-US" sz="1100" b="0" i="0">
                  <a:latin typeface="Cambria Math" panose="02040503050406030204" pitchFamily="18" charset="0"/>
                </a:rPr>
                <a:t>∗=0.9032(𝐹𝑟𝑜𝑚 𝑇𝑎𝑏𝑙𝑒)</a:t>
              </a:r>
              <a:endParaRPr lang="en-IN"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10</xdr:col>
      <xdr:colOff>12700</xdr:colOff>
      <xdr:row>16</xdr:row>
      <xdr:rowOff>12700</xdr:rowOff>
    </xdr:from>
    <xdr:to>
      <xdr:col>18</xdr:col>
      <xdr:colOff>180975</xdr:colOff>
      <xdr:row>32</xdr:row>
      <xdr:rowOff>114300</xdr:rowOff>
    </xdr:to>
    <xdr:graphicFrame macro="">
      <xdr:nvGraphicFramePr>
        <xdr:cNvPr id="3" name="Chart 2">
          <a:extLst>
            <a:ext uri="{FF2B5EF4-FFF2-40B4-BE49-F238E27FC236}">
              <a16:creationId xmlns:a16="http://schemas.microsoft.com/office/drawing/2014/main" id="{246DF24E-877D-4762-A27B-812D288B5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xdr:colOff>
      <xdr:row>34</xdr:row>
      <xdr:rowOff>9525</xdr:rowOff>
    </xdr:from>
    <xdr:to>
      <xdr:col>18</xdr:col>
      <xdr:colOff>336550</xdr:colOff>
      <xdr:row>50</xdr:row>
      <xdr:rowOff>111125</xdr:rowOff>
    </xdr:to>
    <xdr:graphicFrame macro="">
      <xdr:nvGraphicFramePr>
        <xdr:cNvPr id="2" name="Chart 1">
          <a:extLst>
            <a:ext uri="{FF2B5EF4-FFF2-40B4-BE49-F238E27FC236}">
              <a16:creationId xmlns:a16="http://schemas.microsoft.com/office/drawing/2014/main" id="{EAC9D131-C4FC-4828-BBD3-86338CD05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workbookViewId="0">
      <selection activeCell="F11" sqref="F11"/>
    </sheetView>
  </sheetViews>
  <sheetFormatPr defaultRowHeight="13" x14ac:dyDescent="0.6"/>
  <cols>
    <col min="1" max="1" width="7.26953125" customWidth="1"/>
    <col min="10" max="10" width="16.86328125" customWidth="1"/>
  </cols>
  <sheetData>
    <row r="1" spans="1:10" ht="15.5" x14ac:dyDescent="0.7">
      <c r="A1" s="112" t="s">
        <v>2</v>
      </c>
      <c r="B1" s="112"/>
      <c r="C1" s="112"/>
      <c r="D1" s="112"/>
      <c r="E1" s="112"/>
      <c r="F1" s="112"/>
      <c r="G1" s="112"/>
      <c r="H1" s="112"/>
      <c r="I1" s="112"/>
      <c r="J1" s="112"/>
    </row>
    <row r="2" spans="1:10" ht="15.5" x14ac:dyDescent="0.7">
      <c r="A2" s="112" t="s">
        <v>3</v>
      </c>
      <c r="B2" s="112"/>
      <c r="C2" s="112"/>
      <c r="D2" s="112"/>
      <c r="E2" s="112"/>
      <c r="F2" s="112"/>
      <c r="G2" s="112"/>
      <c r="H2" s="112"/>
      <c r="I2" s="112"/>
      <c r="J2" s="112"/>
    </row>
    <row r="3" spans="1:10" ht="15.5" x14ac:dyDescent="0.7">
      <c r="A3" s="112" t="s">
        <v>4</v>
      </c>
      <c r="B3" s="112"/>
      <c r="C3" s="112"/>
      <c r="D3" s="112"/>
      <c r="E3" s="112"/>
      <c r="F3" s="112"/>
      <c r="G3" s="112"/>
      <c r="H3" s="112"/>
      <c r="I3" s="112"/>
      <c r="J3" s="112"/>
    </row>
    <row r="5" spans="1:10" ht="25.5" customHeight="1" x14ac:dyDescent="0.6">
      <c r="A5" s="113" t="s">
        <v>45</v>
      </c>
      <c r="B5" s="113"/>
      <c r="C5" s="113"/>
      <c r="D5" s="113"/>
      <c r="E5" s="113"/>
      <c r="F5" s="113"/>
      <c r="G5" s="113"/>
      <c r="H5" s="113"/>
      <c r="I5" s="113"/>
      <c r="J5" s="113"/>
    </row>
    <row r="6" spans="1:10" x14ac:dyDescent="0.6">
      <c r="A6" t="s">
        <v>59</v>
      </c>
    </row>
    <row r="7" spans="1:10" x14ac:dyDescent="0.6">
      <c r="A7" s="2">
        <v>1</v>
      </c>
      <c r="B7" t="s">
        <v>57</v>
      </c>
    </row>
    <row r="8" spans="1:10" x14ac:dyDescent="0.6">
      <c r="A8" s="2">
        <v>2</v>
      </c>
      <c r="B8" t="s">
        <v>5</v>
      </c>
    </row>
    <row r="9" spans="1:10" x14ac:dyDescent="0.6">
      <c r="A9" s="8" t="s">
        <v>60</v>
      </c>
      <c r="B9" t="s">
        <v>6</v>
      </c>
    </row>
    <row r="10" spans="1:10" x14ac:dyDescent="0.6">
      <c r="A10" s="2"/>
      <c r="C10" t="s">
        <v>7</v>
      </c>
    </row>
    <row r="11" spans="1:10" x14ac:dyDescent="0.6">
      <c r="A11" s="2"/>
      <c r="C11" t="s">
        <v>61</v>
      </c>
    </row>
    <row r="12" spans="1:10" x14ac:dyDescent="0.6">
      <c r="A12" s="2"/>
      <c r="C12" t="s">
        <v>46</v>
      </c>
    </row>
    <row r="13" spans="1:10" x14ac:dyDescent="0.6">
      <c r="A13" s="2"/>
      <c r="C13" t="s">
        <v>8</v>
      </c>
    </row>
    <row r="14" spans="1:10" x14ac:dyDescent="0.6">
      <c r="A14" s="2"/>
      <c r="C14" t="s">
        <v>9</v>
      </c>
    </row>
    <row r="15" spans="1:10" x14ac:dyDescent="0.6">
      <c r="A15" s="2"/>
      <c r="C15" t="s">
        <v>41</v>
      </c>
    </row>
    <row r="16" spans="1:10" x14ac:dyDescent="0.6">
      <c r="A16" s="8" t="s">
        <v>62</v>
      </c>
      <c r="B16" t="s">
        <v>10</v>
      </c>
    </row>
    <row r="17" spans="1:10" ht="13.75" thickBot="1" x14ac:dyDescent="0.75">
      <c r="A17" s="9"/>
      <c r="B17" s="9"/>
      <c r="C17" s="9"/>
      <c r="D17" s="9"/>
      <c r="E17" s="9"/>
      <c r="F17" s="9"/>
      <c r="G17" s="9"/>
      <c r="H17" s="9"/>
      <c r="I17" s="9"/>
      <c r="J17" s="9"/>
    </row>
    <row r="18" spans="1:10" ht="13.75" thickTop="1" x14ac:dyDescent="0.6">
      <c r="A18" s="6" t="s">
        <v>11</v>
      </c>
    </row>
    <row r="19" spans="1:10" x14ac:dyDescent="0.6">
      <c r="B19" s="6" t="s">
        <v>47</v>
      </c>
    </row>
    <row r="20" spans="1:10" x14ac:dyDescent="0.6">
      <c r="B20" s="2" t="s">
        <v>0</v>
      </c>
      <c r="C20" s="2" t="s">
        <v>12</v>
      </c>
      <c r="D20" s="2"/>
      <c r="E20" s="2"/>
    </row>
    <row r="21" spans="1:10" x14ac:dyDescent="0.6">
      <c r="B21">
        <v>1</v>
      </c>
      <c r="C21" s="13">
        <v>15003</v>
      </c>
    </row>
    <row r="22" spans="1:10" x14ac:dyDescent="0.6">
      <c r="B22">
        <v>2</v>
      </c>
      <c r="C22" s="13">
        <v>13844</v>
      </c>
    </row>
    <row r="23" spans="1:10" x14ac:dyDescent="0.6">
      <c r="B23">
        <v>3</v>
      </c>
      <c r="C23" s="13">
        <v>11195</v>
      </c>
    </row>
    <row r="24" spans="1:10" x14ac:dyDescent="0.6">
      <c r="B24">
        <v>4</v>
      </c>
      <c r="C24" s="13">
        <v>11680</v>
      </c>
    </row>
    <row r="25" spans="1:10" x14ac:dyDescent="0.6">
      <c r="B25">
        <v>5</v>
      </c>
      <c r="C25" s="13">
        <v>8614</v>
      </c>
    </row>
    <row r="26" spans="1:10" x14ac:dyDescent="0.6">
      <c r="B26">
        <v>6</v>
      </c>
      <c r="C26" s="13">
        <v>10180</v>
      </c>
    </row>
    <row r="27" spans="1:10" x14ac:dyDescent="0.6">
      <c r="B27">
        <v>7</v>
      </c>
      <c r="C27" s="13">
        <v>13878</v>
      </c>
    </row>
    <row r="28" spans="1:10" x14ac:dyDescent="0.6">
      <c r="B28">
        <v>8</v>
      </c>
      <c r="C28" s="13">
        <v>11532</v>
      </c>
    </row>
    <row r="29" spans="1:10" x14ac:dyDescent="0.6">
      <c r="B29">
        <v>9</v>
      </c>
      <c r="C29" s="13">
        <v>14642</v>
      </c>
    </row>
    <row r="30" spans="1:10" x14ac:dyDescent="0.6">
      <c r="B30">
        <v>10</v>
      </c>
      <c r="C30" s="13">
        <v>16114</v>
      </c>
    </row>
    <row r="31" spans="1:10" x14ac:dyDescent="0.6">
      <c r="B31">
        <v>11</v>
      </c>
      <c r="C31" s="13">
        <v>15935</v>
      </c>
    </row>
    <row r="32" spans="1:10" x14ac:dyDescent="0.6">
      <c r="B32">
        <v>12</v>
      </c>
      <c r="C32" s="13">
        <v>20864</v>
      </c>
    </row>
    <row r="33" spans="2:7" x14ac:dyDescent="0.6">
      <c r="B33">
        <v>13</v>
      </c>
      <c r="C33" s="13">
        <v>20000</v>
      </c>
      <c r="E33" s="1"/>
    </row>
    <row r="34" spans="2:7" x14ac:dyDescent="0.6">
      <c r="B34">
        <v>14</v>
      </c>
      <c r="C34" s="13">
        <v>14471</v>
      </c>
      <c r="E34" s="1"/>
    </row>
    <row r="35" spans="2:7" x14ac:dyDescent="0.6">
      <c r="B35">
        <v>15</v>
      </c>
      <c r="C35" s="13">
        <v>13229</v>
      </c>
      <c r="E35" s="1"/>
    </row>
    <row r="36" spans="2:7" x14ac:dyDescent="0.6">
      <c r="B36">
        <v>16</v>
      </c>
      <c r="C36" s="13">
        <v>14154</v>
      </c>
      <c r="E36" s="1"/>
    </row>
    <row r="37" spans="2:7" x14ac:dyDescent="0.6">
      <c r="B37">
        <v>17</v>
      </c>
      <c r="C37" s="13">
        <v>9457</v>
      </c>
      <c r="E37" s="1"/>
    </row>
    <row r="38" spans="2:7" x14ac:dyDescent="0.6">
      <c r="B38">
        <v>18</v>
      </c>
      <c r="C38" s="13">
        <v>10802</v>
      </c>
      <c r="E38" s="1"/>
    </row>
    <row r="39" spans="2:7" x14ac:dyDescent="0.6">
      <c r="B39">
        <v>19</v>
      </c>
      <c r="C39" s="13">
        <v>12669</v>
      </c>
      <c r="E39" s="1"/>
    </row>
    <row r="40" spans="2:7" x14ac:dyDescent="0.6">
      <c r="B40">
        <v>20</v>
      </c>
      <c r="C40" s="13">
        <v>15303</v>
      </c>
      <c r="E40" s="1"/>
    </row>
    <row r="41" spans="2:7" x14ac:dyDescent="0.6">
      <c r="B41">
        <v>21</v>
      </c>
      <c r="C41" s="13">
        <v>19230</v>
      </c>
      <c r="E41" s="1"/>
    </row>
    <row r="42" spans="2:7" x14ac:dyDescent="0.6">
      <c r="B42">
        <v>22</v>
      </c>
      <c r="C42" s="13">
        <v>19722</v>
      </c>
      <c r="E42" s="1"/>
    </row>
    <row r="43" spans="2:7" x14ac:dyDescent="0.6">
      <c r="B43">
        <v>23</v>
      </c>
      <c r="C43" s="13">
        <v>20890</v>
      </c>
      <c r="E43" s="1"/>
    </row>
    <row r="44" spans="2:7" x14ac:dyDescent="0.6">
      <c r="B44">
        <v>24</v>
      </c>
      <c r="C44" s="13">
        <v>21774</v>
      </c>
      <c r="E44" s="1"/>
    </row>
    <row r="45" spans="2:7" x14ac:dyDescent="0.6">
      <c r="C45" s="1"/>
      <c r="E45" s="1"/>
    </row>
    <row r="46" spans="2:7" x14ac:dyDescent="0.6">
      <c r="B46" s="10" t="s">
        <v>13</v>
      </c>
    </row>
    <row r="47" spans="2:7" x14ac:dyDescent="0.6">
      <c r="C47" s="3" t="s">
        <v>14</v>
      </c>
      <c r="D47" s="7">
        <v>0.21</v>
      </c>
      <c r="E47" t="s">
        <v>1</v>
      </c>
    </row>
    <row r="48" spans="2:7" x14ac:dyDescent="0.6">
      <c r="C48" s="3" t="s">
        <v>58</v>
      </c>
      <c r="D48" s="5">
        <v>48</v>
      </c>
      <c r="E48" t="s">
        <v>15</v>
      </c>
      <c r="F48" s="14" t="s">
        <v>64</v>
      </c>
      <c r="G48" s="4"/>
    </row>
    <row r="49" spans="1:10" x14ac:dyDescent="0.6">
      <c r="C49" s="3" t="s">
        <v>16</v>
      </c>
      <c r="D49" s="5">
        <v>42.4</v>
      </c>
      <c r="E49" t="s">
        <v>15</v>
      </c>
      <c r="F49" s="3"/>
      <c r="G49" s="4"/>
    </row>
    <row r="50" spans="1:10" x14ac:dyDescent="0.6">
      <c r="C50" s="3" t="s">
        <v>17</v>
      </c>
      <c r="D50" s="5">
        <v>65</v>
      </c>
      <c r="E50" t="s">
        <v>15</v>
      </c>
      <c r="F50" s="3"/>
      <c r="G50" s="4"/>
    </row>
    <row r="51" spans="1:10" x14ac:dyDescent="0.6">
      <c r="F51" s="3"/>
      <c r="G51" s="4"/>
    </row>
    <row r="53" spans="1:10" x14ac:dyDescent="0.6">
      <c r="A53" s="6" t="s">
        <v>18</v>
      </c>
    </row>
    <row r="55" spans="1:10" x14ac:dyDescent="0.6">
      <c r="A55" t="s">
        <v>19</v>
      </c>
      <c r="B55" t="s">
        <v>42</v>
      </c>
    </row>
    <row r="56" spans="1:10" x14ac:dyDescent="0.6">
      <c r="B56" t="s">
        <v>43</v>
      </c>
    </row>
    <row r="57" spans="1:10" x14ac:dyDescent="0.6">
      <c r="B57" t="s">
        <v>20</v>
      </c>
    </row>
    <row r="58" spans="1:10" x14ac:dyDescent="0.6">
      <c r="B58" t="s">
        <v>63</v>
      </c>
    </row>
    <row r="60" spans="1:10" x14ac:dyDescent="0.6">
      <c r="A60" t="s">
        <v>21</v>
      </c>
      <c r="B60" t="s">
        <v>48</v>
      </c>
    </row>
    <row r="61" spans="1:10" x14ac:dyDescent="0.6">
      <c r="B61" t="s">
        <v>22</v>
      </c>
    </row>
    <row r="63" spans="1:10" ht="25.5" customHeight="1" x14ac:dyDescent="0.6">
      <c r="A63" s="11" t="s">
        <v>23</v>
      </c>
      <c r="B63" s="111" t="s">
        <v>49</v>
      </c>
      <c r="C63" s="111"/>
      <c r="D63" s="111"/>
      <c r="E63" s="111"/>
      <c r="F63" s="111"/>
      <c r="G63" s="111"/>
      <c r="H63" s="111"/>
      <c r="I63" s="111"/>
      <c r="J63" s="111"/>
    </row>
    <row r="64" spans="1:10" ht="38.25" customHeight="1" x14ac:dyDescent="0.6">
      <c r="B64" s="111" t="s">
        <v>50</v>
      </c>
      <c r="C64" s="111"/>
      <c r="D64" s="111"/>
      <c r="E64" s="111"/>
      <c r="F64" s="111"/>
      <c r="G64" s="111"/>
      <c r="H64" s="111"/>
      <c r="I64" s="111"/>
      <c r="J64" s="111"/>
    </row>
    <row r="65" spans="1:19" x14ac:dyDescent="0.6">
      <c r="B65" t="s">
        <v>24</v>
      </c>
      <c r="C65" t="s">
        <v>25</v>
      </c>
      <c r="F65" s="4">
        <v>950</v>
      </c>
    </row>
    <row r="66" spans="1:19" x14ac:dyDescent="0.6">
      <c r="F66" s="4"/>
    </row>
    <row r="67" spans="1:19" ht="27.75" customHeight="1" x14ac:dyDescent="0.6">
      <c r="B67" s="111" t="s">
        <v>51</v>
      </c>
      <c r="C67" s="111"/>
      <c r="D67" s="111"/>
      <c r="E67" s="111"/>
      <c r="F67" s="111"/>
      <c r="G67" s="111"/>
      <c r="H67" s="111"/>
      <c r="I67" s="111"/>
      <c r="J67" s="111"/>
    </row>
    <row r="68" spans="1:19" ht="12.75" customHeight="1" x14ac:dyDescent="0.6">
      <c r="B68" s="12"/>
      <c r="C68" s="12"/>
      <c r="D68" s="12"/>
      <c r="E68" s="12"/>
      <c r="F68" s="12"/>
      <c r="G68" s="12"/>
      <c r="H68" s="12"/>
      <c r="I68" s="12"/>
      <c r="J68" s="12"/>
    </row>
    <row r="69" spans="1:19" ht="38.25" customHeight="1" x14ac:dyDescent="0.6">
      <c r="A69" s="11" t="s">
        <v>26</v>
      </c>
      <c r="B69" s="111" t="s">
        <v>52</v>
      </c>
      <c r="C69" s="111"/>
      <c r="D69" s="111"/>
      <c r="E69" s="111"/>
      <c r="F69" s="111"/>
      <c r="G69" s="111"/>
      <c r="H69" s="111"/>
      <c r="I69" s="111"/>
      <c r="J69" s="111"/>
    </row>
    <row r="70" spans="1:19" ht="39" customHeight="1" x14ac:dyDescent="0.6">
      <c r="B70" s="111" t="s">
        <v>65</v>
      </c>
      <c r="C70" s="111"/>
      <c r="D70" s="111"/>
      <c r="E70" s="111"/>
      <c r="F70" s="111"/>
      <c r="G70" s="111"/>
      <c r="H70" s="111"/>
      <c r="I70" s="111"/>
      <c r="J70" s="111"/>
      <c r="K70" s="111"/>
      <c r="L70" s="111"/>
      <c r="M70" s="111"/>
      <c r="N70" s="111"/>
      <c r="O70" s="111"/>
      <c r="P70" s="111"/>
      <c r="Q70" s="111"/>
      <c r="R70" s="111"/>
      <c r="S70" s="111"/>
    </row>
    <row r="71" spans="1:19" ht="12.75" customHeight="1" x14ac:dyDescent="0.6">
      <c r="B71" s="111" t="s">
        <v>44</v>
      </c>
      <c r="C71" s="111"/>
      <c r="D71" s="111"/>
      <c r="E71" s="111"/>
      <c r="F71" s="111"/>
      <c r="G71" s="111"/>
      <c r="H71" s="111"/>
      <c r="I71" s="111"/>
      <c r="J71" s="111"/>
      <c r="K71" s="12"/>
      <c r="L71" s="12"/>
      <c r="M71" s="12"/>
      <c r="N71" s="12"/>
      <c r="O71" s="12"/>
      <c r="P71" s="12"/>
      <c r="Q71" s="12"/>
      <c r="R71" s="12"/>
      <c r="S71" s="12"/>
    </row>
    <row r="73" spans="1:19" x14ac:dyDescent="0.6">
      <c r="A73" t="s">
        <v>27</v>
      </c>
      <c r="B73" t="s">
        <v>28</v>
      </c>
    </row>
    <row r="74" spans="1:19" ht="38.25" customHeight="1" x14ac:dyDescent="0.6">
      <c r="C74" s="111" t="s">
        <v>53</v>
      </c>
      <c r="D74" s="111"/>
      <c r="E74" s="111"/>
      <c r="F74" s="111"/>
      <c r="G74" s="111"/>
      <c r="H74" s="111"/>
      <c r="I74" s="111"/>
      <c r="J74" s="111"/>
    </row>
    <row r="75" spans="1:19" x14ac:dyDescent="0.6">
      <c r="C75" t="s">
        <v>29</v>
      </c>
    </row>
    <row r="76" spans="1:19" x14ac:dyDescent="0.6">
      <c r="C76" t="s">
        <v>54</v>
      </c>
    </row>
    <row r="77" spans="1:19" ht="25.5" customHeight="1" x14ac:dyDescent="0.6">
      <c r="C77" s="111" t="s">
        <v>55</v>
      </c>
      <c r="D77" s="111"/>
      <c r="E77" s="111"/>
      <c r="F77" s="111"/>
      <c r="G77" s="111"/>
      <c r="H77" s="111"/>
      <c r="I77" s="111"/>
      <c r="J77" s="111"/>
      <c r="K77" s="111"/>
      <c r="L77" s="111"/>
    </row>
    <row r="78" spans="1:19" x14ac:dyDescent="0.6">
      <c r="C78" t="s">
        <v>30</v>
      </c>
      <c r="E78" s="4">
        <v>25</v>
      </c>
      <c r="F78" t="s">
        <v>31</v>
      </c>
    </row>
    <row r="79" spans="1:19" x14ac:dyDescent="0.6">
      <c r="C79" t="s">
        <v>32</v>
      </c>
      <c r="E79" s="5">
        <v>37.5</v>
      </c>
      <c r="F79" t="s">
        <v>31</v>
      </c>
    </row>
    <row r="80" spans="1:19" x14ac:dyDescent="0.6">
      <c r="C80" t="s">
        <v>33</v>
      </c>
      <c r="E80" s="13">
        <v>24</v>
      </c>
      <c r="F80" t="s">
        <v>34</v>
      </c>
    </row>
    <row r="81" spans="1:10" x14ac:dyDescent="0.6">
      <c r="C81" t="s">
        <v>35</v>
      </c>
      <c r="E81" s="4">
        <v>3000</v>
      </c>
      <c r="F81" t="s">
        <v>36</v>
      </c>
    </row>
    <row r="82" spans="1:10" x14ac:dyDescent="0.6">
      <c r="C82" t="s">
        <v>37</v>
      </c>
      <c r="E82" s="4">
        <v>6000</v>
      </c>
      <c r="F82" t="s">
        <v>36</v>
      </c>
    </row>
    <row r="83" spans="1:10" x14ac:dyDescent="0.6">
      <c r="C83" t="s">
        <v>38</v>
      </c>
    </row>
    <row r="84" spans="1:10" ht="25.5" customHeight="1" x14ac:dyDescent="0.6">
      <c r="C84" s="111" t="s">
        <v>39</v>
      </c>
      <c r="D84" s="111"/>
      <c r="E84" s="111"/>
      <c r="F84" s="111"/>
      <c r="G84" s="111"/>
      <c r="H84" s="111"/>
      <c r="I84" s="111"/>
      <c r="J84" s="111"/>
    </row>
    <row r="85" spans="1:10" x14ac:dyDescent="0.6">
      <c r="B85" t="s">
        <v>40</v>
      </c>
    </row>
    <row r="86" spans="1:10" ht="25.5" customHeight="1" x14ac:dyDescent="0.6">
      <c r="B86" s="110" t="s">
        <v>66</v>
      </c>
      <c r="C86" s="110"/>
      <c r="D86" s="110"/>
      <c r="E86" s="110"/>
      <c r="F86" s="110"/>
      <c r="G86" s="110"/>
      <c r="H86" s="110"/>
      <c r="I86" s="110"/>
      <c r="J86" s="110"/>
    </row>
    <row r="87" spans="1:10" ht="38.25" customHeight="1" x14ac:dyDescent="0.6">
      <c r="B87" s="111" t="s">
        <v>56</v>
      </c>
      <c r="C87" s="111"/>
      <c r="D87" s="111"/>
      <c r="E87" s="111"/>
      <c r="F87" s="111"/>
      <c r="G87" s="111"/>
      <c r="H87" s="111"/>
      <c r="I87" s="111"/>
      <c r="J87" s="111"/>
    </row>
    <row r="89" spans="1:10" x14ac:dyDescent="0.6">
      <c r="A89" t="s">
        <v>67</v>
      </c>
      <c r="B89" t="s">
        <v>68</v>
      </c>
    </row>
    <row r="90" spans="1:10" ht="24.75" customHeight="1" x14ac:dyDescent="0.6">
      <c r="B90" s="110" t="s">
        <v>69</v>
      </c>
      <c r="C90" s="110"/>
      <c r="D90" s="110"/>
      <c r="E90" s="110"/>
      <c r="F90" s="110"/>
      <c r="G90" s="110"/>
      <c r="H90" s="110"/>
      <c r="I90" s="110"/>
      <c r="J90" s="110"/>
    </row>
    <row r="91" spans="1:10" x14ac:dyDescent="0.6">
      <c r="B91" t="s">
        <v>70</v>
      </c>
    </row>
  </sheetData>
  <mergeCells count="18">
    <mergeCell ref="B64:J64"/>
    <mergeCell ref="A1:J1"/>
    <mergeCell ref="A2:J2"/>
    <mergeCell ref="A3:J3"/>
    <mergeCell ref="A5:J5"/>
    <mergeCell ref="B63:J63"/>
    <mergeCell ref="B90:J90"/>
    <mergeCell ref="B67:J67"/>
    <mergeCell ref="B69:J69"/>
    <mergeCell ref="B70:J70"/>
    <mergeCell ref="K70:S70"/>
    <mergeCell ref="B71:J71"/>
    <mergeCell ref="C74:J74"/>
    <mergeCell ref="C77:J77"/>
    <mergeCell ref="K77:L77"/>
    <mergeCell ref="C84:J84"/>
    <mergeCell ref="B87:J87"/>
    <mergeCell ref="B86:J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9"/>
  <sheetViews>
    <sheetView topLeftCell="F27" workbookViewId="0">
      <selection activeCell="O41" sqref="O41"/>
    </sheetView>
  </sheetViews>
  <sheetFormatPr defaultRowHeight="13" x14ac:dyDescent="0.6"/>
  <cols>
    <col min="5" max="5" width="15.90625" customWidth="1"/>
    <col min="6" max="6" width="11.54296875" customWidth="1"/>
    <col min="10" max="10" width="10" customWidth="1"/>
  </cols>
  <sheetData>
    <row r="4" spans="1:15" x14ac:dyDescent="0.6">
      <c r="B4" s="16"/>
      <c r="C4" s="2"/>
      <c r="D4" s="17"/>
      <c r="E4" s="17"/>
      <c r="F4" s="17"/>
      <c r="G4" s="17"/>
      <c r="H4" s="17"/>
      <c r="I4" s="17"/>
      <c r="J4" s="18" t="s">
        <v>76</v>
      </c>
      <c r="K4" s="18" t="s">
        <v>77</v>
      </c>
      <c r="L4" s="19"/>
      <c r="M4" s="19"/>
      <c r="N4" s="20"/>
    </row>
    <row r="5" spans="1:15" x14ac:dyDescent="0.6">
      <c r="B5" s="16"/>
      <c r="C5" s="2"/>
      <c r="D5" s="17"/>
      <c r="E5" s="17"/>
      <c r="F5" s="17"/>
      <c r="G5" s="17"/>
      <c r="H5" s="17"/>
      <c r="I5" s="17"/>
      <c r="J5" s="21" t="s">
        <v>78</v>
      </c>
      <c r="K5" s="2"/>
      <c r="L5" s="19"/>
      <c r="M5" s="19"/>
      <c r="N5" s="20"/>
    </row>
    <row r="6" spans="1:15" x14ac:dyDescent="0.6">
      <c r="B6" s="16"/>
      <c r="C6" s="2"/>
      <c r="D6" s="17"/>
      <c r="E6" s="22"/>
      <c r="F6" s="17"/>
      <c r="G6" s="17"/>
      <c r="H6" s="17"/>
      <c r="I6" s="17"/>
      <c r="J6" s="23" t="s">
        <v>79</v>
      </c>
      <c r="K6" s="24">
        <v>0.1</v>
      </c>
      <c r="L6" s="19"/>
      <c r="M6" s="19"/>
      <c r="N6" s="20"/>
    </row>
    <row r="7" spans="1:15" x14ac:dyDescent="0.6">
      <c r="B7" s="16"/>
      <c r="C7" s="2"/>
      <c r="D7" s="17"/>
      <c r="E7" s="22"/>
      <c r="F7" s="17"/>
      <c r="G7" s="17"/>
      <c r="H7" s="17"/>
      <c r="I7" s="17"/>
      <c r="J7" s="2" t="s">
        <v>80</v>
      </c>
      <c r="K7" s="24">
        <v>0.1</v>
      </c>
      <c r="L7" s="19"/>
      <c r="M7" s="19"/>
      <c r="N7" s="20"/>
    </row>
    <row r="8" spans="1:15" ht="13.25" customHeight="1" x14ac:dyDescent="0.6">
      <c r="C8" s="2"/>
      <c r="D8" s="2"/>
      <c r="E8" s="2"/>
      <c r="F8" s="2"/>
      <c r="G8" s="2"/>
      <c r="H8" s="2"/>
      <c r="I8" s="2"/>
      <c r="J8" t="s">
        <v>81</v>
      </c>
      <c r="K8" s="24">
        <v>0.1</v>
      </c>
    </row>
    <row r="9" spans="1:15" ht="43.25" customHeight="1" x14ac:dyDescent="0.9">
      <c r="A9" s="25" t="s">
        <v>82</v>
      </c>
      <c r="B9" s="25" t="s">
        <v>0</v>
      </c>
      <c r="C9" s="25" t="s">
        <v>83</v>
      </c>
      <c r="D9" s="26" t="s">
        <v>84</v>
      </c>
      <c r="E9" s="89" t="s">
        <v>85</v>
      </c>
      <c r="F9" s="89" t="s">
        <v>86</v>
      </c>
      <c r="G9" s="89" t="s">
        <v>87</v>
      </c>
      <c r="H9" s="27" t="s">
        <v>71</v>
      </c>
      <c r="I9" s="27" t="s">
        <v>72</v>
      </c>
      <c r="J9" s="27" t="s">
        <v>88</v>
      </c>
      <c r="K9" s="28" t="s">
        <v>73</v>
      </c>
      <c r="L9" s="29" t="s">
        <v>89</v>
      </c>
      <c r="M9" s="29" t="s">
        <v>90</v>
      </c>
      <c r="N9" s="29" t="s">
        <v>91</v>
      </c>
      <c r="O9" s="29" t="s">
        <v>92</v>
      </c>
    </row>
    <row r="10" spans="1:15" x14ac:dyDescent="0.6">
      <c r="A10" s="30"/>
      <c r="B10" s="30"/>
      <c r="C10" s="31">
        <v>0</v>
      </c>
      <c r="D10" s="32"/>
      <c r="E10" s="32"/>
      <c r="F10" s="32"/>
      <c r="G10" s="32"/>
      <c r="H10" s="88">
        <v>12559</v>
      </c>
      <c r="I10" s="88">
        <v>173</v>
      </c>
      <c r="J10" s="30"/>
      <c r="K10" s="33"/>
      <c r="L10" s="30"/>
      <c r="M10" s="30"/>
      <c r="N10" s="30"/>
      <c r="O10" s="30"/>
    </row>
    <row r="11" spans="1:15" x14ac:dyDescent="0.6">
      <c r="A11" s="34">
        <v>1</v>
      </c>
      <c r="B11" s="34" t="s">
        <v>93</v>
      </c>
      <c r="C11" s="34">
        <v>1</v>
      </c>
      <c r="D11" s="13">
        <v>15003</v>
      </c>
      <c r="E11" s="35"/>
      <c r="F11" s="35">
        <f>$H$10+C11*$I$10</f>
        <v>12732</v>
      </c>
      <c r="G11" s="36">
        <f>D11/F11</f>
        <v>1.1783694627709709</v>
      </c>
      <c r="H11" s="37">
        <f>$K$6*(D11/J11)+(1-$K$6)*(H10+I10)</f>
        <v>12645.281208642478</v>
      </c>
      <c r="I11" s="37">
        <f>$K$7*(H11-H10)+(1-$K$7)*I10</f>
        <v>164.32812086424784</v>
      </c>
      <c r="J11" s="38">
        <f>AVERAGE(G11,G23)</f>
        <v>1.2644953742812175</v>
      </c>
      <c r="K11" s="39">
        <f>(H10+I10)*J11</f>
        <v>16099.555105348461</v>
      </c>
      <c r="L11" s="39">
        <f t="shared" ref="L11:L34" si="0">K11-D11</f>
        <v>1096.5551053484614</v>
      </c>
      <c r="M11" s="39">
        <f t="shared" ref="M11:M34" si="1">ABS(L11)</f>
        <v>1096.5551053484614</v>
      </c>
      <c r="N11" s="39">
        <f t="shared" ref="N11:N34" si="2">M11/D11*100</f>
        <v>7.308905587872168</v>
      </c>
      <c r="O11" s="39">
        <f>L11^2</f>
        <v>1202433.0990657753</v>
      </c>
    </row>
    <row r="12" spans="1:15" x14ac:dyDescent="0.6">
      <c r="A12" s="34">
        <v>1</v>
      </c>
      <c r="B12" s="34" t="s">
        <v>94</v>
      </c>
      <c r="C12" s="34">
        <v>2</v>
      </c>
      <c r="D12" s="13">
        <v>13844</v>
      </c>
      <c r="E12" s="35"/>
      <c r="F12" s="35">
        <f t="shared" ref="F12:F34" si="3">$H$10+C12*$I$10</f>
        <v>12905</v>
      </c>
      <c r="G12" s="36">
        <f t="shared" ref="G12:G34" si="4">D12/F12</f>
        <v>1.0727624951569159</v>
      </c>
      <c r="H12" s="37">
        <f t="shared" ref="H12:H34" si="5">$K$6*(D12/J12)+(1-$K$6)*(H11+I11)</f>
        <v>12886.755861216179</v>
      </c>
      <c r="I12" s="37">
        <f t="shared" ref="I12:I34" si="6">$K$7*(H12-H11)+(1-$K$7)*I11</f>
        <v>172.04277403519316</v>
      </c>
      <c r="J12" s="38">
        <f t="shared" ref="J12:J22" si="7">AVERAGE(G12,G24)</f>
        <v>1.0193596869349761</v>
      </c>
      <c r="K12" s="39">
        <f t="shared" ref="K12:K34" si="8">(H11+I11)*J12</f>
        <v>13057.599355885326</v>
      </c>
      <c r="L12" s="39">
        <f t="shared" si="0"/>
        <v>-786.40064411467392</v>
      </c>
      <c r="M12" s="39">
        <f t="shared" si="1"/>
        <v>786.40064411467392</v>
      </c>
      <c r="N12" s="39">
        <f t="shared" si="2"/>
        <v>5.6804438320909698</v>
      </c>
      <c r="O12" s="39">
        <f t="shared" ref="O12:O34" si="9">L12^2</f>
        <v>618425.97306397406</v>
      </c>
    </row>
    <row r="13" spans="1:15" x14ac:dyDescent="0.6">
      <c r="A13" s="34">
        <v>1</v>
      </c>
      <c r="B13" s="34" t="s">
        <v>95</v>
      </c>
      <c r="C13" s="34">
        <v>3</v>
      </c>
      <c r="D13" s="13">
        <v>11195</v>
      </c>
      <c r="E13" s="35"/>
      <c r="F13" s="35">
        <f t="shared" si="3"/>
        <v>13078</v>
      </c>
      <c r="G13" s="36">
        <f t="shared" si="4"/>
        <v>0.85601773971555284</v>
      </c>
      <c r="H13" s="37">
        <f t="shared" si="5"/>
        <v>13047.895520337062</v>
      </c>
      <c r="I13" s="37">
        <f t="shared" si="6"/>
        <v>170.95246254376215</v>
      </c>
      <c r="J13" s="38">
        <f t="shared" si="7"/>
        <v>0.86449428624948821</v>
      </c>
      <c r="K13" s="39">
        <f t="shared" si="8"/>
        <v>11289.256805457426</v>
      </c>
      <c r="L13" s="39">
        <f t="shared" si="0"/>
        <v>94.256805457425799</v>
      </c>
      <c r="M13" s="39">
        <f t="shared" si="1"/>
        <v>94.256805457425799</v>
      </c>
      <c r="N13" s="39">
        <f t="shared" si="2"/>
        <v>0.84195449269696998</v>
      </c>
      <c r="O13" s="39">
        <f t="shared" si="9"/>
        <v>8884.3453750390145</v>
      </c>
    </row>
    <row r="14" spans="1:15" x14ac:dyDescent="0.6">
      <c r="A14" s="34">
        <v>1</v>
      </c>
      <c r="B14" s="34" t="s">
        <v>96</v>
      </c>
      <c r="C14" s="34">
        <v>4</v>
      </c>
      <c r="D14" s="13">
        <v>11680</v>
      </c>
      <c r="E14" s="35"/>
      <c r="F14" s="35">
        <f t="shared" si="3"/>
        <v>13251</v>
      </c>
      <c r="G14" s="36">
        <f t="shared" si="4"/>
        <v>0.88144290996905894</v>
      </c>
      <c r="H14" s="37">
        <f t="shared" si="5"/>
        <v>13191.209611651264</v>
      </c>
      <c r="I14" s="37">
        <f t="shared" si="6"/>
        <v>168.18862542080609</v>
      </c>
      <c r="J14" s="38">
        <f t="shared" si="7"/>
        <v>0.90245564954315149</v>
      </c>
      <c r="K14" s="39">
        <f t="shared" si="8"/>
        <v>11929.424042602894</v>
      </c>
      <c r="L14" s="39">
        <f t="shared" si="0"/>
        <v>249.42404260289368</v>
      </c>
      <c r="M14" s="39">
        <f t="shared" si="1"/>
        <v>249.42404260289368</v>
      </c>
      <c r="N14" s="39">
        <f t="shared" si="2"/>
        <v>2.1354798168055966</v>
      </c>
      <c r="O14" s="39">
        <f t="shared" si="9"/>
        <v>62212.353028370118</v>
      </c>
    </row>
    <row r="15" spans="1:15" x14ac:dyDescent="0.6">
      <c r="A15" s="34">
        <v>1</v>
      </c>
      <c r="B15" s="34" t="s">
        <v>97</v>
      </c>
      <c r="C15" s="34">
        <v>5</v>
      </c>
      <c r="D15" s="13">
        <v>8614</v>
      </c>
      <c r="E15" s="35"/>
      <c r="F15" s="35">
        <f t="shared" si="3"/>
        <v>13424</v>
      </c>
      <c r="G15" s="36">
        <f t="shared" si="4"/>
        <v>0.64168653158522049</v>
      </c>
      <c r="H15" s="37">
        <f t="shared" si="5"/>
        <v>13399.699490533381</v>
      </c>
      <c r="I15" s="37">
        <f t="shared" si="6"/>
        <v>172.21875076693723</v>
      </c>
      <c r="J15" s="38">
        <f t="shared" si="7"/>
        <v>0.62590778192164254</v>
      </c>
      <c r="K15" s="39">
        <f t="shared" si="8"/>
        <v>8361.751318373681</v>
      </c>
      <c r="L15" s="39">
        <f t="shared" si="0"/>
        <v>-252.24868162631901</v>
      </c>
      <c r="M15" s="39">
        <f t="shared" si="1"/>
        <v>252.24868162631901</v>
      </c>
      <c r="N15" s="39">
        <f t="shared" si="2"/>
        <v>2.9283571119842002</v>
      </c>
      <c r="O15" s="39">
        <f t="shared" si="9"/>
        <v>63629.397382216048</v>
      </c>
    </row>
    <row r="16" spans="1:15" x14ac:dyDescent="0.6">
      <c r="A16" s="34">
        <v>1</v>
      </c>
      <c r="B16" s="34" t="s">
        <v>98</v>
      </c>
      <c r="C16" s="34">
        <v>6</v>
      </c>
      <c r="D16" s="13">
        <v>10180</v>
      </c>
      <c r="E16" s="35"/>
      <c r="F16" s="35">
        <f t="shared" si="3"/>
        <v>13597</v>
      </c>
      <c r="G16" s="36">
        <f t="shared" si="4"/>
        <v>0.74869456497756859</v>
      </c>
      <c r="H16" s="37">
        <f t="shared" si="5"/>
        <v>13630.675010202885</v>
      </c>
      <c r="I16" s="37">
        <f t="shared" si="6"/>
        <v>178.09442765719393</v>
      </c>
      <c r="J16" s="38">
        <f t="shared" si="7"/>
        <v>0.71895265478508996</v>
      </c>
      <c r="K16" s="39">
        <f t="shared" si="8"/>
        <v>9757.5666501090527</v>
      </c>
      <c r="L16" s="39">
        <f t="shared" si="0"/>
        <v>-422.43334989094728</v>
      </c>
      <c r="M16" s="39">
        <f t="shared" si="1"/>
        <v>422.43334989094728</v>
      </c>
      <c r="N16" s="39">
        <f t="shared" si="2"/>
        <v>4.1496399792823899</v>
      </c>
      <c r="O16" s="39">
        <f t="shared" si="9"/>
        <v>178449.93510008749</v>
      </c>
    </row>
    <row r="17" spans="1:15" x14ac:dyDescent="0.6">
      <c r="A17" s="34">
        <v>1</v>
      </c>
      <c r="B17" s="34" t="s">
        <v>99</v>
      </c>
      <c r="C17" s="34">
        <v>7</v>
      </c>
      <c r="D17" s="13">
        <v>13878</v>
      </c>
      <c r="E17" s="41">
        <f>(0.5*(D11+D23)+SUM(D12:D22))/12</f>
        <v>13831.625</v>
      </c>
      <c r="F17" s="35">
        <f t="shared" si="3"/>
        <v>13770</v>
      </c>
      <c r="G17" s="36">
        <f t="shared" si="4"/>
        <v>1.0078431372549019</v>
      </c>
      <c r="H17" s="37">
        <f t="shared" si="5"/>
        <v>13963.620835936072</v>
      </c>
      <c r="I17" s="37">
        <f t="shared" si="6"/>
        <v>193.57956746479317</v>
      </c>
      <c r="J17" s="38">
        <f t="shared" si="7"/>
        <v>0.90367544973309277</v>
      </c>
      <c r="K17" s="39">
        <f t="shared" si="8"/>
        <v>12478.645932018793</v>
      </c>
      <c r="L17" s="39">
        <f t="shared" si="0"/>
        <v>-1399.3540679812068</v>
      </c>
      <c r="M17" s="39">
        <f t="shared" si="1"/>
        <v>1399.3540679812068</v>
      </c>
      <c r="N17" s="39">
        <f t="shared" si="2"/>
        <v>10.083254561040544</v>
      </c>
      <c r="O17" s="39">
        <f t="shared" si="9"/>
        <v>1958191.8075755518</v>
      </c>
    </row>
    <row r="18" spans="1:15" x14ac:dyDescent="0.6">
      <c r="A18" s="34">
        <v>1</v>
      </c>
      <c r="B18" s="34" t="s">
        <v>100</v>
      </c>
      <c r="C18" s="34">
        <v>8</v>
      </c>
      <c r="D18" s="13">
        <v>11532</v>
      </c>
      <c r="E18" s="41">
        <f t="shared" ref="E18:E28" si="10">(0.5*(D12+D24)+SUM(D13:D23))/12</f>
        <v>14065.958333333334</v>
      </c>
      <c r="F18" s="35">
        <f t="shared" si="3"/>
        <v>13943</v>
      </c>
      <c r="G18" s="36">
        <f t="shared" si="4"/>
        <v>0.82708168973678553</v>
      </c>
      <c r="H18" s="37">
        <f t="shared" si="5"/>
        <v>14035.477059100882</v>
      </c>
      <c r="I18" s="37">
        <f t="shared" si="6"/>
        <v>181.40723303479487</v>
      </c>
      <c r="J18" s="38">
        <f t="shared" si="7"/>
        <v>0.89119238366607045</v>
      </c>
      <c r="K18" s="39">
        <f t="shared" si="8"/>
        <v>12616.78917354507</v>
      </c>
      <c r="L18" s="39">
        <f t="shared" si="0"/>
        <v>1084.7891735450703</v>
      </c>
      <c r="M18" s="39">
        <f t="shared" si="1"/>
        <v>1084.7891735450703</v>
      </c>
      <c r="N18" s="39">
        <f t="shared" si="2"/>
        <v>9.4067739641438628</v>
      </c>
      <c r="O18" s="39">
        <f t="shared" si="9"/>
        <v>1176767.5510405966</v>
      </c>
    </row>
    <row r="19" spans="1:15" x14ac:dyDescent="0.6">
      <c r="A19" s="34">
        <v>1</v>
      </c>
      <c r="B19" s="34" t="s">
        <v>101</v>
      </c>
      <c r="C19" s="34">
        <v>9</v>
      </c>
      <c r="D19" s="13">
        <v>14642</v>
      </c>
      <c r="E19" s="41">
        <f t="shared" si="10"/>
        <v>14176.833333333334</v>
      </c>
      <c r="F19" s="35">
        <f t="shared" si="3"/>
        <v>14116</v>
      </c>
      <c r="G19" s="36">
        <f t="shared" si="4"/>
        <v>1.0372626806460754</v>
      </c>
      <c r="H19" s="37">
        <f t="shared" si="5"/>
        <v>14111.398013873906</v>
      </c>
      <c r="I19" s="37">
        <f t="shared" si="6"/>
        <v>170.8586052086178</v>
      </c>
      <c r="J19" s="38">
        <f t="shared" si="7"/>
        <v>1.1124430992163183</v>
      </c>
      <c r="K19" s="39">
        <f t="shared" si="8"/>
        <v>15815.474823143208</v>
      </c>
      <c r="L19" s="39">
        <f t="shared" si="0"/>
        <v>1173.4748231432077</v>
      </c>
      <c r="M19" s="39">
        <f t="shared" si="1"/>
        <v>1173.4748231432077</v>
      </c>
      <c r="N19" s="39">
        <f t="shared" si="2"/>
        <v>8.0144435401120599</v>
      </c>
      <c r="O19" s="39">
        <f t="shared" si="9"/>
        <v>1377043.1605509825</v>
      </c>
    </row>
    <row r="20" spans="1:15" x14ac:dyDescent="0.6">
      <c r="A20" s="34">
        <v>1</v>
      </c>
      <c r="B20" s="34" t="s">
        <v>102</v>
      </c>
      <c r="C20" s="34">
        <v>10</v>
      </c>
      <c r="D20" s="13">
        <v>16114</v>
      </c>
      <c r="E20" s="41">
        <f t="shared" si="10"/>
        <v>14364.666666666666</v>
      </c>
      <c r="F20" s="35">
        <f t="shared" si="3"/>
        <v>14289</v>
      </c>
      <c r="G20" s="36">
        <f t="shared" si="4"/>
        <v>1.1277206242564211</v>
      </c>
      <c r="H20" s="37">
        <f t="shared" si="5"/>
        <v>14235.515031834761</v>
      </c>
      <c r="I20" s="37">
        <f t="shared" si="6"/>
        <v>166.18444648384144</v>
      </c>
      <c r="J20" s="38">
        <f t="shared" si="7"/>
        <v>1.1664267649238109</v>
      </c>
      <c r="K20" s="39">
        <f t="shared" si="8"/>
        <v>16659.206384008114</v>
      </c>
      <c r="L20" s="39">
        <f t="shared" si="0"/>
        <v>545.20638400811367</v>
      </c>
      <c r="M20" s="39">
        <f t="shared" si="1"/>
        <v>545.20638400811367</v>
      </c>
      <c r="N20" s="39">
        <f t="shared" si="2"/>
        <v>3.3834329403507111</v>
      </c>
      <c r="O20" s="39">
        <f t="shared" si="9"/>
        <v>297250.00116320269</v>
      </c>
    </row>
    <row r="21" spans="1:15" x14ac:dyDescent="0.6">
      <c r="A21" s="34">
        <v>1</v>
      </c>
      <c r="B21" s="34" t="s">
        <v>103</v>
      </c>
      <c r="C21" s="34">
        <v>11</v>
      </c>
      <c r="D21" s="13">
        <v>15935</v>
      </c>
      <c r="E21" s="41">
        <f t="shared" si="10"/>
        <v>14502.875</v>
      </c>
      <c r="F21" s="35">
        <f t="shared" si="3"/>
        <v>14462</v>
      </c>
      <c r="G21" s="36">
        <f t="shared" si="4"/>
        <v>1.1018531323468399</v>
      </c>
      <c r="H21" s="37">
        <f t="shared" si="5"/>
        <v>14309.095584370683</v>
      </c>
      <c r="I21" s="37">
        <f t="shared" si="6"/>
        <v>156.9240570890496</v>
      </c>
      <c r="J21" s="38">
        <f t="shared" si="7"/>
        <v>1.1825023310784872</v>
      </c>
      <c r="K21" s="39">
        <f t="shared" si="8"/>
        <v>17030.043204603578</v>
      </c>
      <c r="L21" s="39">
        <f t="shared" si="0"/>
        <v>1095.0432046035785</v>
      </c>
      <c r="M21" s="39">
        <f t="shared" si="1"/>
        <v>1095.0432046035785</v>
      </c>
      <c r="N21" s="39">
        <f t="shared" si="2"/>
        <v>6.8719372739477782</v>
      </c>
      <c r="O21" s="39">
        <f t="shared" si="9"/>
        <v>1199119.6199484747</v>
      </c>
    </row>
    <row r="22" spans="1:15" x14ac:dyDescent="0.6">
      <c r="A22" s="34">
        <v>1</v>
      </c>
      <c r="B22" s="34" t="s">
        <v>104</v>
      </c>
      <c r="C22" s="34">
        <v>12</v>
      </c>
      <c r="D22" s="13">
        <v>20864</v>
      </c>
      <c r="E22" s="41">
        <f t="shared" si="10"/>
        <v>14563.916666666666</v>
      </c>
      <c r="F22" s="35">
        <f t="shared" si="3"/>
        <v>14635</v>
      </c>
      <c r="G22" s="36">
        <f t="shared" si="4"/>
        <v>1.4256235052955244</v>
      </c>
      <c r="H22" s="37">
        <f t="shared" si="5"/>
        <v>14548.701441559835</v>
      </c>
      <c r="I22" s="37">
        <f t="shared" si="6"/>
        <v>165.19223709905984</v>
      </c>
      <c r="J22" s="38">
        <f t="shared" si="7"/>
        <v>1.364298797109494</v>
      </c>
      <c r="K22" s="39">
        <f t="shared" si="8"/>
        <v>19735.973195805826</v>
      </c>
      <c r="L22" s="39">
        <f t="shared" si="0"/>
        <v>-1128.0268041941745</v>
      </c>
      <c r="M22" s="39">
        <f t="shared" si="1"/>
        <v>1128.0268041941745</v>
      </c>
      <c r="N22" s="39">
        <f t="shared" si="2"/>
        <v>5.4065701888141033</v>
      </c>
      <c r="O22" s="39">
        <f t="shared" si="9"/>
        <v>1272444.4709805225</v>
      </c>
    </row>
    <row r="23" spans="1:15" x14ac:dyDescent="0.6">
      <c r="A23" s="42">
        <v>2</v>
      </c>
      <c r="B23" s="42" t="s">
        <v>93</v>
      </c>
      <c r="C23" s="42">
        <v>13</v>
      </c>
      <c r="D23" s="13">
        <v>20000</v>
      </c>
      <c r="E23" s="41">
        <f t="shared" si="10"/>
        <v>14539.458333333334</v>
      </c>
      <c r="F23" s="35">
        <f t="shared" si="3"/>
        <v>14808</v>
      </c>
      <c r="G23" s="36">
        <f t="shared" si="4"/>
        <v>1.3506212857914641</v>
      </c>
      <c r="H23" s="37">
        <f t="shared" si="5"/>
        <v>14833.985576074054</v>
      </c>
      <c r="I23" s="37">
        <f t="shared" si="6"/>
        <v>177.20142684057572</v>
      </c>
      <c r="J23" s="38">
        <f>$K$7*(D11/H11)+(1-$K$7)*J11</f>
        <v>1.2566908851715635</v>
      </c>
      <c r="K23" s="39">
        <f t="shared" si="8"/>
        <v>18490.816071354118</v>
      </c>
      <c r="L23" s="39">
        <f t="shared" si="0"/>
        <v>-1509.1839286458817</v>
      </c>
      <c r="M23" s="39">
        <f t="shared" si="1"/>
        <v>1509.1839286458817</v>
      </c>
      <c r="N23" s="39">
        <f t="shared" si="2"/>
        <v>7.545919643229408</v>
      </c>
      <c r="O23" s="39">
        <f t="shared" si="9"/>
        <v>2277636.1304830178</v>
      </c>
    </row>
    <row r="24" spans="1:15" x14ac:dyDescent="0.6">
      <c r="A24" s="42">
        <v>2</v>
      </c>
      <c r="B24" s="42" t="s">
        <v>94</v>
      </c>
      <c r="C24" s="42">
        <v>14</v>
      </c>
      <c r="D24" s="13">
        <v>14471</v>
      </c>
      <c r="E24" s="41">
        <f t="shared" si="10"/>
        <v>14646.208333333334</v>
      </c>
      <c r="F24" s="35">
        <f t="shared" si="3"/>
        <v>14981</v>
      </c>
      <c r="G24" s="36">
        <f t="shared" si="4"/>
        <v>0.96595687871303648</v>
      </c>
      <c r="H24" s="37">
        <f t="shared" si="5"/>
        <v>14922.077279023093</v>
      </c>
      <c r="I24" s="37">
        <f t="shared" si="6"/>
        <v>168.29045445142208</v>
      </c>
      <c r="J24" s="38">
        <f t="shared" ref="J24:J46" si="11">$K$7*(D12/H12)+(1-$K$7)*J12</f>
        <v>1.0248518417280477</v>
      </c>
      <c r="K24" s="39">
        <f t="shared" si="8"/>
        <v>15384.242646461191</v>
      </c>
      <c r="L24" s="39">
        <f t="shared" si="0"/>
        <v>913.24264646119082</v>
      </c>
      <c r="M24" s="39">
        <f t="shared" si="1"/>
        <v>913.24264646119082</v>
      </c>
      <c r="N24" s="39">
        <f t="shared" si="2"/>
        <v>6.3108468416915962</v>
      </c>
      <c r="O24" s="39">
        <f t="shared" si="9"/>
        <v>834012.13131543959</v>
      </c>
    </row>
    <row r="25" spans="1:15" x14ac:dyDescent="0.6">
      <c r="A25" s="42">
        <v>2</v>
      </c>
      <c r="B25" s="42" t="s">
        <v>95</v>
      </c>
      <c r="C25" s="42">
        <v>15</v>
      </c>
      <c r="D25" s="13">
        <v>13229</v>
      </c>
      <c r="E25" s="41">
        <f t="shared" si="10"/>
        <v>14994.5</v>
      </c>
      <c r="F25" s="35">
        <f t="shared" si="3"/>
        <v>15154</v>
      </c>
      <c r="G25" s="36">
        <f t="shared" si="4"/>
        <v>0.87297083278342347</v>
      </c>
      <c r="H25" s="37">
        <f t="shared" si="5"/>
        <v>15112.741485721075</v>
      </c>
      <c r="I25" s="37">
        <f t="shared" si="6"/>
        <v>170.52782967607808</v>
      </c>
      <c r="J25" s="38">
        <f t="shared" si="11"/>
        <v>0.86384413446999664</v>
      </c>
      <c r="K25" s="39">
        <f t="shared" si="8"/>
        <v>13035.725653557258</v>
      </c>
      <c r="L25" s="39">
        <f t="shared" si="0"/>
        <v>-193.27434644274217</v>
      </c>
      <c r="M25" s="39">
        <f t="shared" si="1"/>
        <v>193.27434644274217</v>
      </c>
      <c r="N25" s="39">
        <f t="shared" si="2"/>
        <v>1.4609898438486824</v>
      </c>
      <c r="O25" s="39">
        <f t="shared" si="9"/>
        <v>37354.972992869123</v>
      </c>
    </row>
    <row r="26" spans="1:15" x14ac:dyDescent="0.6">
      <c r="A26" s="42">
        <v>2</v>
      </c>
      <c r="B26" s="42" t="s">
        <v>96</v>
      </c>
      <c r="C26" s="42">
        <v>16</v>
      </c>
      <c r="D26" s="13">
        <v>14154</v>
      </c>
      <c r="E26" s="41">
        <f t="shared" si="10"/>
        <v>15336</v>
      </c>
      <c r="F26" s="35">
        <f t="shared" si="3"/>
        <v>15327</v>
      </c>
      <c r="G26" s="36">
        <f t="shared" si="4"/>
        <v>0.92346838911724405</v>
      </c>
      <c r="H26" s="37">
        <f t="shared" si="5"/>
        <v>15326.292786495802</v>
      </c>
      <c r="I26" s="37">
        <f t="shared" si="6"/>
        <v>174.83017678594297</v>
      </c>
      <c r="J26" s="38">
        <f t="shared" si="11"/>
        <v>0.90075389780884252</v>
      </c>
      <c r="K26" s="39">
        <f t="shared" si="8"/>
        <v>13766.464407106267</v>
      </c>
      <c r="L26" s="39">
        <f t="shared" si="0"/>
        <v>-387.53559289373334</v>
      </c>
      <c r="M26" s="39">
        <f t="shared" si="1"/>
        <v>387.53559289373334</v>
      </c>
      <c r="N26" s="39">
        <f t="shared" si="2"/>
        <v>2.7379934498638785</v>
      </c>
      <c r="O26" s="39">
        <f t="shared" si="9"/>
        <v>150183.83575949742</v>
      </c>
    </row>
    <row r="27" spans="1:15" x14ac:dyDescent="0.6">
      <c r="A27" s="42">
        <v>2</v>
      </c>
      <c r="B27" s="42" t="s">
        <v>97</v>
      </c>
      <c r="C27" s="42">
        <v>17</v>
      </c>
      <c r="D27" s="13">
        <v>9457</v>
      </c>
      <c r="E27" s="41">
        <f t="shared" si="10"/>
        <v>15692.791666666666</v>
      </c>
      <c r="F27" s="35">
        <f t="shared" si="3"/>
        <v>15500</v>
      </c>
      <c r="G27" s="36">
        <f t="shared" si="4"/>
        <v>0.61012903225806447</v>
      </c>
      <c r="H27" s="37">
        <f t="shared" si="5"/>
        <v>15457.857296810898</v>
      </c>
      <c r="I27" s="37">
        <f t="shared" si="6"/>
        <v>170.50361013885833</v>
      </c>
      <c r="J27" s="38">
        <f t="shared" si="11"/>
        <v>0.6276020274800902</v>
      </c>
      <c r="K27" s="39">
        <f t="shared" si="8"/>
        <v>9728.536199973807</v>
      </c>
      <c r="L27" s="39">
        <f t="shared" si="0"/>
        <v>271.53619997380702</v>
      </c>
      <c r="M27" s="39">
        <f t="shared" si="1"/>
        <v>271.53619997380702</v>
      </c>
      <c r="N27" s="39">
        <f t="shared" si="2"/>
        <v>2.8712720733193087</v>
      </c>
      <c r="O27" s="39">
        <f t="shared" si="9"/>
        <v>73731.907896215314</v>
      </c>
    </row>
    <row r="28" spans="1:15" x14ac:dyDescent="0.6">
      <c r="A28" s="42">
        <v>2</v>
      </c>
      <c r="B28" s="42" t="s">
        <v>98</v>
      </c>
      <c r="C28" s="42">
        <v>18</v>
      </c>
      <c r="D28" s="13">
        <v>10802</v>
      </c>
      <c r="E28" s="41">
        <f t="shared" si="10"/>
        <v>15937.166666666666</v>
      </c>
      <c r="F28" s="35">
        <f t="shared" si="3"/>
        <v>15673</v>
      </c>
      <c r="G28" s="36">
        <f t="shared" si="4"/>
        <v>0.68921074459261145</v>
      </c>
      <c r="H28" s="37">
        <f t="shared" si="5"/>
        <v>15562.181768321525</v>
      </c>
      <c r="I28" s="37">
        <f t="shared" si="6"/>
        <v>163.88569627603516</v>
      </c>
      <c r="J28" s="38">
        <f t="shared" si="11"/>
        <v>0.72174187846342774</v>
      </c>
      <c r="K28" s="39">
        <f t="shared" si="8"/>
        <v>11279.642558286316</v>
      </c>
      <c r="L28" s="39">
        <f t="shared" si="0"/>
        <v>477.64255828631576</v>
      </c>
      <c r="M28" s="39">
        <f t="shared" si="1"/>
        <v>477.64255828631576</v>
      </c>
      <c r="N28" s="39">
        <f t="shared" si="2"/>
        <v>4.4217974290530986</v>
      </c>
      <c r="O28" s="39">
        <f t="shared" si="9"/>
        <v>228142.41348629654</v>
      </c>
    </row>
    <row r="29" spans="1:15" x14ac:dyDescent="0.6">
      <c r="A29" s="42">
        <v>2</v>
      </c>
      <c r="B29" s="42" t="s">
        <v>99</v>
      </c>
      <c r="C29" s="42">
        <v>19</v>
      </c>
      <c r="D29" s="13">
        <v>12669</v>
      </c>
      <c r="E29" s="41"/>
      <c r="F29" s="35">
        <f t="shared" si="3"/>
        <v>15846</v>
      </c>
      <c r="G29" s="36">
        <f t="shared" si="4"/>
        <v>0.79950776221128361</v>
      </c>
      <c r="H29" s="37">
        <f t="shared" si="5"/>
        <v>15541.548052012866</v>
      </c>
      <c r="I29" s="37">
        <f t="shared" si="6"/>
        <v>145.43375501756574</v>
      </c>
      <c r="J29" s="38">
        <f t="shared" si="11"/>
        <v>0.91269473402891033</v>
      </c>
      <c r="K29" s="39">
        <f t="shared" si="8"/>
        <v>14353.098961921571</v>
      </c>
      <c r="L29" s="39">
        <f t="shared" si="0"/>
        <v>1684.0989619215707</v>
      </c>
      <c r="M29" s="39">
        <f t="shared" si="1"/>
        <v>1684.0989619215707</v>
      </c>
      <c r="N29" s="39">
        <f t="shared" si="2"/>
        <v>13.293069397123455</v>
      </c>
      <c r="O29" s="39">
        <f t="shared" si="9"/>
        <v>2836189.3135453118</v>
      </c>
    </row>
    <row r="30" spans="1:15" x14ac:dyDescent="0.6">
      <c r="A30" s="42">
        <v>2</v>
      </c>
      <c r="B30" s="42" t="s">
        <v>100</v>
      </c>
      <c r="C30" s="42">
        <v>20</v>
      </c>
      <c r="D30" s="13">
        <v>15303</v>
      </c>
      <c r="E30" s="41"/>
      <c r="F30" s="35">
        <f t="shared" si="3"/>
        <v>16019</v>
      </c>
      <c r="G30" s="36">
        <f t="shared" si="4"/>
        <v>0.95530307759535549</v>
      </c>
      <c r="H30" s="37">
        <f t="shared" si="5"/>
        <v>15848.929479346749</v>
      </c>
      <c r="I30" s="37">
        <f t="shared" si="6"/>
        <v>161.62852224919749</v>
      </c>
      <c r="J30" s="38">
        <f t="shared" si="11"/>
        <v>0.88423636605384748</v>
      </c>
      <c r="K30" s="39">
        <f t="shared" si="8"/>
        <v>13870.999787401406</v>
      </c>
      <c r="L30" s="39">
        <f t="shared" si="0"/>
        <v>-1432.0002125985939</v>
      </c>
      <c r="M30" s="39">
        <f t="shared" si="1"/>
        <v>1432.0002125985939</v>
      </c>
      <c r="N30" s="39">
        <f t="shared" si="2"/>
        <v>9.3576436816218642</v>
      </c>
      <c r="O30" s="39">
        <f t="shared" si="9"/>
        <v>2050624.6088824179</v>
      </c>
    </row>
    <row r="31" spans="1:15" x14ac:dyDescent="0.6">
      <c r="A31" s="42">
        <v>2</v>
      </c>
      <c r="B31" s="42" t="s">
        <v>101</v>
      </c>
      <c r="C31" s="42">
        <v>21</v>
      </c>
      <c r="D31" s="13">
        <v>19230</v>
      </c>
      <c r="E31" s="41"/>
      <c r="F31" s="35">
        <f t="shared" si="3"/>
        <v>16192</v>
      </c>
      <c r="G31" s="36">
        <f t="shared" si="4"/>
        <v>1.1876235177865613</v>
      </c>
      <c r="H31" s="37">
        <f t="shared" si="5"/>
        <v>16149.838450275856</v>
      </c>
      <c r="I31" s="37">
        <f t="shared" si="6"/>
        <v>175.55656711718851</v>
      </c>
      <c r="J31" s="38">
        <f t="shared" si="11"/>
        <v>1.1049588844008158</v>
      </c>
      <c r="K31" s="39">
        <f t="shared" si="8"/>
        <v>17691.00830807801</v>
      </c>
      <c r="L31" s="39">
        <f t="shared" si="0"/>
        <v>-1538.9916919219904</v>
      </c>
      <c r="M31" s="39">
        <f t="shared" si="1"/>
        <v>1538.9916919219904</v>
      </c>
      <c r="N31" s="39">
        <f t="shared" si="2"/>
        <v>8.0030769210711927</v>
      </c>
      <c r="O31" s="39">
        <f t="shared" si="9"/>
        <v>2368495.4278049106</v>
      </c>
    </row>
    <row r="32" spans="1:15" x14ac:dyDescent="0.6">
      <c r="A32" s="42">
        <v>2</v>
      </c>
      <c r="B32" s="42" t="s">
        <v>102</v>
      </c>
      <c r="C32" s="42">
        <v>22</v>
      </c>
      <c r="D32" s="13">
        <v>19722</v>
      </c>
      <c r="E32" s="41"/>
      <c r="F32" s="35">
        <f t="shared" si="3"/>
        <v>16365</v>
      </c>
      <c r="G32" s="36">
        <f t="shared" si="4"/>
        <v>1.2051329055912008</v>
      </c>
      <c r="H32" s="37">
        <f t="shared" si="5"/>
        <v>16388.671651997134</v>
      </c>
      <c r="I32" s="37">
        <f t="shared" si="6"/>
        <v>181.88423057759744</v>
      </c>
      <c r="J32" s="38">
        <f t="shared" si="11"/>
        <v>1.1629798524340977</v>
      </c>
      <c r="K32" s="39">
        <f t="shared" si="8"/>
        <v>18986.105488256118</v>
      </c>
      <c r="L32" s="39">
        <f t="shared" si="0"/>
        <v>-735.89451174388159</v>
      </c>
      <c r="M32" s="39">
        <f t="shared" si="1"/>
        <v>735.89451174388159</v>
      </c>
      <c r="N32" s="39">
        <f t="shared" si="2"/>
        <v>3.7313381591313339</v>
      </c>
      <c r="O32" s="39">
        <f t="shared" si="9"/>
        <v>541540.73241476587</v>
      </c>
    </row>
    <row r="33" spans="1:16" x14ac:dyDescent="0.6">
      <c r="A33" s="42">
        <v>2</v>
      </c>
      <c r="B33" s="42" t="s">
        <v>103</v>
      </c>
      <c r="C33" s="42">
        <v>23</v>
      </c>
      <c r="D33" s="13">
        <v>20890</v>
      </c>
      <c r="E33" s="41"/>
      <c r="F33" s="35">
        <f t="shared" si="3"/>
        <v>16538</v>
      </c>
      <c r="G33" s="36">
        <f t="shared" si="4"/>
        <v>1.2631515298101343</v>
      </c>
      <c r="H33" s="37">
        <f t="shared" si="5"/>
        <v>16690.442830132139</v>
      </c>
      <c r="I33" s="37">
        <f t="shared" si="6"/>
        <v>193.87292533333815</v>
      </c>
      <c r="J33" s="38">
        <f t="shared" si="11"/>
        <v>1.1756148315972503</v>
      </c>
      <c r="K33" s="39">
        <f t="shared" si="8"/>
        <v>19480.591263365921</v>
      </c>
      <c r="L33" s="39">
        <f t="shared" si="0"/>
        <v>-1409.4087366340791</v>
      </c>
      <c r="M33" s="39">
        <f t="shared" si="1"/>
        <v>1409.4087366340791</v>
      </c>
      <c r="N33" s="39">
        <f t="shared" si="2"/>
        <v>6.7468106109817096</v>
      </c>
      <c r="O33" s="39">
        <f t="shared" si="9"/>
        <v>1986432.9869004709</v>
      </c>
    </row>
    <row r="34" spans="1:16" x14ac:dyDescent="0.6">
      <c r="A34" s="42">
        <v>2</v>
      </c>
      <c r="B34" s="42" t="s">
        <v>104</v>
      </c>
      <c r="C34" s="42">
        <v>24</v>
      </c>
      <c r="D34" s="13">
        <v>21774</v>
      </c>
      <c r="E34" s="41"/>
      <c r="F34" s="35">
        <f t="shared" si="3"/>
        <v>16711</v>
      </c>
      <c r="G34" s="36">
        <f t="shared" si="4"/>
        <v>1.3029740889234636</v>
      </c>
      <c r="H34" s="37">
        <f t="shared" si="5"/>
        <v>16783.74728154231</v>
      </c>
      <c r="I34" s="37">
        <f t="shared" si="6"/>
        <v>183.81607794102146</v>
      </c>
      <c r="J34" s="38">
        <f t="shared" si="11"/>
        <v>1.3712769052784792</v>
      </c>
      <c r="K34" s="39">
        <f t="shared" si="8"/>
        <v>23153.072256899366</v>
      </c>
      <c r="L34" s="39">
        <f t="shared" si="0"/>
        <v>1379.072256899366</v>
      </c>
      <c r="M34" s="39">
        <f t="shared" si="1"/>
        <v>1379.072256899366</v>
      </c>
      <c r="N34" s="39">
        <f t="shared" si="2"/>
        <v>6.3335733301155788</v>
      </c>
      <c r="O34" s="39">
        <f t="shared" si="9"/>
        <v>1901840.2897495111</v>
      </c>
    </row>
    <row r="35" spans="1:16" x14ac:dyDescent="0.6">
      <c r="A35" s="34">
        <v>3</v>
      </c>
      <c r="B35" s="34" t="s">
        <v>93</v>
      </c>
      <c r="C35" s="34">
        <v>25</v>
      </c>
      <c r="D35" s="49"/>
      <c r="E35" s="49"/>
      <c r="H35" s="114" t="s">
        <v>108</v>
      </c>
      <c r="I35" s="115"/>
      <c r="J35" s="44">
        <f t="shared" si="11"/>
        <v>1.2658473288583638</v>
      </c>
      <c r="K35" s="45">
        <f>(H34+I34)*J35</f>
        <v>21478.344755837021</v>
      </c>
      <c r="L35" s="40"/>
      <c r="M35" s="43"/>
    </row>
    <row r="36" spans="1:16" x14ac:dyDescent="0.6">
      <c r="A36" s="34">
        <v>3</v>
      </c>
      <c r="B36" s="34" t="s">
        <v>94</v>
      </c>
      <c r="C36" s="34">
        <v>26</v>
      </c>
      <c r="D36" s="49"/>
      <c r="E36" s="49"/>
      <c r="F36" s="49"/>
      <c r="G36" s="49"/>
      <c r="H36" s="49"/>
      <c r="I36" s="49"/>
      <c r="J36" s="44">
        <f t="shared" si="11"/>
        <v>1.0193437722652894</v>
      </c>
      <c r="K36" s="45">
        <f>($H$34+(C36-$C$34)*$I$34)*J36</f>
        <v>17483.151815297457</v>
      </c>
      <c r="L36" s="40"/>
    </row>
    <row r="37" spans="1:16" x14ac:dyDescent="0.6">
      <c r="A37" s="34">
        <v>3</v>
      </c>
      <c r="B37" s="34" t="s">
        <v>95</v>
      </c>
      <c r="C37" s="34">
        <v>27</v>
      </c>
      <c r="D37" s="49"/>
      <c r="E37" s="49"/>
      <c r="F37" s="49"/>
      <c r="G37" s="49"/>
      <c r="H37" s="49"/>
      <c r="I37" s="49"/>
      <c r="J37" s="44">
        <f t="shared" si="11"/>
        <v>0.864995129555586</v>
      </c>
      <c r="K37" s="45">
        <f t="shared" ref="K37:K46" si="12">($H$34+(C37-$C$34)*$I$34)*J37</f>
        <v>14994.859690684883</v>
      </c>
      <c r="L37" s="40"/>
    </row>
    <row r="38" spans="1:16" x14ac:dyDescent="0.6">
      <c r="A38" s="34">
        <v>3</v>
      </c>
      <c r="B38" s="34" t="s">
        <v>96</v>
      </c>
      <c r="C38" s="34">
        <v>28</v>
      </c>
      <c r="D38" s="49"/>
      <c r="E38" s="49"/>
      <c r="F38" s="49"/>
      <c r="G38" s="49"/>
      <c r="H38" s="49"/>
      <c r="I38" s="49"/>
      <c r="J38" s="44">
        <f t="shared" si="11"/>
        <v>0.90302960817444167</v>
      </c>
      <c r="K38" s="45">
        <f t="shared" si="12"/>
        <v>15820.186174706976</v>
      </c>
      <c r="L38" s="40"/>
      <c r="M38" s="40"/>
      <c r="N38" s="40"/>
      <c r="O38" s="40"/>
    </row>
    <row r="39" spans="1:16" x14ac:dyDescent="0.6">
      <c r="A39" s="34">
        <v>3</v>
      </c>
      <c r="B39" s="34" t="s">
        <v>97</v>
      </c>
      <c r="C39" s="34">
        <v>29</v>
      </c>
      <c r="D39" s="49"/>
      <c r="E39" s="49"/>
      <c r="F39" s="49"/>
      <c r="G39" s="49"/>
      <c r="H39" s="49"/>
      <c r="I39" s="49"/>
      <c r="J39" s="44">
        <f t="shared" si="11"/>
        <v>0.62602106722613027</v>
      </c>
      <c r="K39" s="45">
        <f t="shared" si="12"/>
        <v>11082.343071674579</v>
      </c>
      <c r="L39" s="40"/>
      <c r="M39" s="40"/>
      <c r="N39" s="40"/>
      <c r="O39" s="40"/>
    </row>
    <row r="40" spans="1:16" x14ac:dyDescent="0.6">
      <c r="A40" s="34">
        <v>3</v>
      </c>
      <c r="B40" s="34" t="s">
        <v>98</v>
      </c>
      <c r="C40" s="34">
        <v>30</v>
      </c>
      <c r="D40" s="49"/>
      <c r="E40" s="49"/>
      <c r="F40" s="49"/>
      <c r="G40" s="49"/>
      <c r="H40" s="49"/>
      <c r="I40" s="49"/>
      <c r="J40" s="44">
        <f t="shared" si="11"/>
        <v>0.71897955176105788</v>
      </c>
      <c r="K40" s="45">
        <f t="shared" si="12"/>
        <v>12860.131105301232</v>
      </c>
      <c r="L40" s="45" t="s">
        <v>105</v>
      </c>
      <c r="M40" s="45" t="s">
        <v>106</v>
      </c>
      <c r="N40" s="45" t="s">
        <v>107</v>
      </c>
      <c r="O40" s="45" t="s">
        <v>74</v>
      </c>
      <c r="P40" s="45" t="s">
        <v>75</v>
      </c>
    </row>
    <row r="41" spans="1:16" x14ac:dyDescent="0.6">
      <c r="A41" s="34">
        <v>3</v>
      </c>
      <c r="B41" s="34" t="s">
        <v>99</v>
      </c>
      <c r="C41" s="34">
        <v>31</v>
      </c>
      <c r="D41" s="49"/>
      <c r="E41" s="49"/>
      <c r="F41" s="49"/>
      <c r="G41" s="49"/>
      <c r="H41" s="49"/>
      <c r="I41" s="49"/>
      <c r="J41" s="44">
        <f t="shared" si="11"/>
        <v>0.90294223665440909</v>
      </c>
      <c r="K41" s="45">
        <f t="shared" si="12"/>
        <v>16316.581413681921</v>
      </c>
      <c r="L41" s="45">
        <f>SUM(L11:L34)</f>
        <v>-1130.4104064372223</v>
      </c>
      <c r="M41" s="45">
        <f>AVERAGE(M11:M34)</f>
        <v>885.79561378913434</v>
      </c>
      <c r="N41" s="45">
        <f>AVERAGE(N11:N34)</f>
        <v>5.7927301945913525</v>
      </c>
      <c r="O41" s="45">
        <f>AVERAGE(O11:O34)</f>
        <v>1029209.8527293965</v>
      </c>
      <c r="P41" s="45">
        <f>O41^0.5</f>
        <v>1014.499804203725</v>
      </c>
    </row>
    <row r="42" spans="1:16" x14ac:dyDescent="0.6">
      <c r="A42" s="34">
        <v>3</v>
      </c>
      <c r="B42" s="34" t="s">
        <v>100</v>
      </c>
      <c r="C42" s="34">
        <v>32</v>
      </c>
      <c r="D42" s="49"/>
      <c r="E42" s="49"/>
      <c r="F42" s="49"/>
      <c r="G42" s="49"/>
      <c r="H42" s="49"/>
      <c r="I42" s="49"/>
      <c r="J42" s="44">
        <f t="shared" si="11"/>
        <v>0.89236814677139187</v>
      </c>
      <c r="K42" s="45">
        <f t="shared" si="12"/>
        <v>16289.534360061418</v>
      </c>
      <c r="L42" s="40"/>
    </row>
    <row r="43" spans="1:16" x14ac:dyDescent="0.6">
      <c r="A43" s="34">
        <v>3</v>
      </c>
      <c r="B43" s="34" t="s">
        <v>101</v>
      </c>
      <c r="C43" s="34">
        <v>33</v>
      </c>
      <c r="D43" s="49"/>
      <c r="E43" s="49"/>
      <c r="F43" s="49"/>
      <c r="G43" s="49"/>
      <c r="H43" s="49"/>
      <c r="I43" s="49"/>
      <c r="J43" s="44">
        <f t="shared" si="11"/>
        <v>1.1135353944816715</v>
      </c>
      <c r="K43" s="45">
        <f t="shared" si="12"/>
        <v>20531.468029792057</v>
      </c>
      <c r="L43" s="40"/>
    </row>
    <row r="44" spans="1:16" x14ac:dyDescent="0.6">
      <c r="A44" s="34">
        <v>3</v>
      </c>
      <c r="B44" s="34" t="s">
        <v>102</v>
      </c>
      <c r="C44" s="34">
        <v>34</v>
      </c>
      <c r="D44" s="49"/>
      <c r="E44" s="49"/>
      <c r="F44" s="49"/>
      <c r="G44" s="49"/>
      <c r="H44" s="49"/>
      <c r="I44" s="49"/>
      <c r="J44" s="44">
        <f t="shared" si="11"/>
        <v>1.1670210894216528</v>
      </c>
      <c r="K44" s="45">
        <f t="shared" si="12"/>
        <v>21732.159432402677</v>
      </c>
      <c r="L44" s="40"/>
    </row>
    <row r="45" spans="1:16" x14ac:dyDescent="0.6">
      <c r="A45" s="34">
        <v>3</v>
      </c>
      <c r="B45" s="34" t="s">
        <v>103</v>
      </c>
      <c r="C45" s="34">
        <v>35</v>
      </c>
      <c r="D45" s="49"/>
      <c r="E45" s="49"/>
      <c r="F45" s="49"/>
      <c r="G45" s="49"/>
      <c r="H45" s="49"/>
      <c r="I45" s="49"/>
      <c r="J45" s="44">
        <f t="shared" si="11"/>
        <v>1.1832147968940407</v>
      </c>
      <c r="K45" s="45">
        <f t="shared" si="12"/>
        <v>22251.211067446289</v>
      </c>
      <c r="L45" s="40"/>
    </row>
    <row r="46" spans="1:16" x14ac:dyDescent="0.6">
      <c r="A46" s="34">
        <v>3</v>
      </c>
      <c r="B46" s="34" t="s">
        <v>104</v>
      </c>
      <c r="C46" s="34">
        <v>36</v>
      </c>
      <c r="D46" s="49"/>
      <c r="E46" s="49"/>
      <c r="F46" s="49"/>
      <c r="G46" s="49"/>
      <c r="H46" s="49"/>
      <c r="I46" s="49"/>
      <c r="J46" s="44">
        <f t="shared" si="11"/>
        <v>1.3638818640496688</v>
      </c>
      <c r="K46" s="45">
        <f t="shared" si="12"/>
        <v>25899.489508382481</v>
      </c>
      <c r="L46" s="40"/>
    </row>
    <row r="49" spans="11:11" x14ac:dyDescent="0.6">
      <c r="K49" s="1">
        <f>SUM(K35:K46)</f>
        <v>216739.460425269</v>
      </c>
    </row>
  </sheetData>
  <mergeCells count="1">
    <mergeCell ref="H35:I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heetViews>
  <sheetFormatPr defaultRowHeight="13" x14ac:dyDescent="0.6"/>
  <cols>
    <col min="2" max="2" width="10.1796875" bestFit="1" customWidth="1"/>
    <col min="3" max="3" width="8.81640625" bestFit="1" customWidth="1"/>
  </cols>
  <sheetData>
    <row r="2" spans="1:4" x14ac:dyDescent="0.6">
      <c r="B2" t="s">
        <v>112</v>
      </c>
      <c r="C2">
        <v>216738</v>
      </c>
      <c r="D2" t="s">
        <v>113</v>
      </c>
    </row>
    <row r="3" spans="1:4" x14ac:dyDescent="0.6">
      <c r="B3" t="s">
        <v>114</v>
      </c>
      <c r="C3">
        <f>2*C2</f>
        <v>433476</v>
      </c>
      <c r="D3" t="s">
        <v>113</v>
      </c>
    </row>
    <row r="4" spans="1:4" x14ac:dyDescent="0.6">
      <c r="B4" t="s">
        <v>115</v>
      </c>
      <c r="C4" s="47">
        <v>48</v>
      </c>
      <c r="D4" t="s">
        <v>117</v>
      </c>
    </row>
    <row r="5" spans="1:4" x14ac:dyDescent="0.6">
      <c r="B5" t="s">
        <v>109</v>
      </c>
      <c r="C5" s="7">
        <v>0.21</v>
      </c>
      <c r="D5" t="s">
        <v>118</v>
      </c>
    </row>
    <row r="6" spans="1:4" x14ac:dyDescent="0.6">
      <c r="B6" t="s">
        <v>116</v>
      </c>
      <c r="C6" s="4">
        <v>950</v>
      </c>
    </row>
    <row r="8" spans="1:4" x14ac:dyDescent="0.6">
      <c r="A8" t="s">
        <v>110</v>
      </c>
      <c r="B8" s="15"/>
    </row>
    <row r="9" spans="1:4" x14ac:dyDescent="0.6">
      <c r="A9" t="s">
        <v>111</v>
      </c>
    </row>
    <row r="10" spans="1:4" x14ac:dyDescent="0.6">
      <c r="A10" t="s">
        <v>120</v>
      </c>
      <c r="B10" t="s">
        <v>172</v>
      </c>
    </row>
    <row r="12" spans="1:4" x14ac:dyDescent="0.6">
      <c r="A12" t="s">
        <v>120</v>
      </c>
      <c r="B12">
        <v>9039</v>
      </c>
      <c r="C12" t="s">
        <v>121</v>
      </c>
    </row>
    <row r="14" spans="1:4" x14ac:dyDescent="0.6">
      <c r="A14" t="s">
        <v>119</v>
      </c>
    </row>
    <row r="15" spans="1:4" x14ac:dyDescent="0.6">
      <c r="A15" t="s">
        <v>122</v>
      </c>
    </row>
    <row r="16" spans="1:4" x14ac:dyDescent="0.6">
      <c r="A16" t="s">
        <v>173</v>
      </c>
    </row>
    <row r="17" spans="1:3" x14ac:dyDescent="0.6">
      <c r="A17" t="s">
        <v>123</v>
      </c>
      <c r="B17" s="1">
        <f>C2/B12</f>
        <v>23.978094922004647</v>
      </c>
    </row>
    <row r="19" spans="1:3" x14ac:dyDescent="0.6">
      <c r="A19" t="s">
        <v>124</v>
      </c>
    </row>
    <row r="20" spans="1:3" x14ac:dyDescent="0.6">
      <c r="A20" t="s">
        <v>174</v>
      </c>
    </row>
    <row r="21" spans="1:3" x14ac:dyDescent="0.6">
      <c r="A21" t="s">
        <v>125</v>
      </c>
      <c r="B21" s="48">
        <f>B12/C3</f>
        <v>2.0852365528887411E-2</v>
      </c>
      <c r="C21" t="s">
        <v>127</v>
      </c>
    </row>
    <row r="22" spans="1:3" x14ac:dyDescent="0.6">
      <c r="A22" t="s">
        <v>125</v>
      </c>
      <c r="B22" s="48">
        <f>B21*52</f>
        <v>1.0843230075021453</v>
      </c>
      <c r="C22" t="s">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topLeftCell="A6" workbookViewId="0">
      <selection activeCell="D1" sqref="D1"/>
    </sheetView>
  </sheetViews>
  <sheetFormatPr defaultRowHeight="13" x14ac:dyDescent="0.6"/>
  <cols>
    <col min="2" max="2" width="8.81640625" bestFit="1" customWidth="1"/>
  </cols>
  <sheetData>
    <row r="2" spans="1:4" x14ac:dyDescent="0.6">
      <c r="B2" s="46"/>
    </row>
    <row r="3" spans="1:4" x14ac:dyDescent="0.6">
      <c r="A3" s="6" t="s">
        <v>178</v>
      </c>
      <c r="B3" s="84"/>
      <c r="C3" s="83"/>
      <c r="D3" s="83"/>
    </row>
    <row r="4" spans="1:4" x14ac:dyDescent="0.6">
      <c r="A4" s="6" t="s">
        <v>179</v>
      </c>
    </row>
    <row r="5" spans="1:4" x14ac:dyDescent="0.6">
      <c r="A5" t="s">
        <v>180</v>
      </c>
      <c r="B5">
        <v>9039.2000000000007</v>
      </c>
    </row>
    <row r="7" spans="1:4" x14ac:dyDescent="0.6">
      <c r="D7">
        <f>1014</f>
        <v>1014</v>
      </c>
    </row>
    <row r="9" spans="1:4" x14ac:dyDescent="0.6">
      <c r="A9" t="s">
        <v>181</v>
      </c>
    </row>
    <row r="10" spans="1:4" x14ac:dyDescent="0.6">
      <c r="A10" t="s">
        <v>182</v>
      </c>
      <c r="B10">
        <f>(1-0.995)*B5</f>
        <v>45.196000000000041</v>
      </c>
    </row>
    <row r="15" spans="1:4" x14ac:dyDescent="0.6">
      <c r="C15">
        <f>45.196/D7</f>
        <v>4.4571992110453644E-2</v>
      </c>
    </row>
    <row r="17" spans="1:3" x14ac:dyDescent="0.6">
      <c r="A17" t="s">
        <v>183</v>
      </c>
      <c r="B17">
        <v>1.31</v>
      </c>
    </row>
    <row r="19" spans="1:3" x14ac:dyDescent="0.6">
      <c r="A19" t="s">
        <v>184</v>
      </c>
      <c r="B19">
        <f>B17*D7</f>
        <v>1328.3400000000001</v>
      </c>
    </row>
    <row r="22" spans="1:3" x14ac:dyDescent="0.6">
      <c r="C22">
        <f>(B19+216739/52)*1</f>
        <v>5496.3976923076925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9" workbookViewId="0">
      <selection activeCell="E38" sqref="E38"/>
    </sheetView>
  </sheetViews>
  <sheetFormatPr defaultRowHeight="13" x14ac:dyDescent="0.6"/>
  <cols>
    <col min="1" max="1" width="11.04296875" customWidth="1"/>
    <col min="3" max="3" width="9.86328125" bestFit="1" customWidth="1"/>
  </cols>
  <sheetData>
    <row r="1" spans="1:5" x14ac:dyDescent="0.6">
      <c r="A1" s="95" t="s">
        <v>186</v>
      </c>
      <c r="C1" t="s">
        <v>187</v>
      </c>
    </row>
    <row r="2" spans="1:5" ht="16" x14ac:dyDescent="0.6">
      <c r="A2" s="90"/>
      <c r="B2" s="91"/>
    </row>
    <row r="3" spans="1:5" ht="18.5" x14ac:dyDescent="0.6">
      <c r="A3" s="93" t="s">
        <v>188</v>
      </c>
    </row>
    <row r="4" spans="1:5" ht="18.5" x14ac:dyDescent="0.6">
      <c r="A4" s="93" t="s">
        <v>189</v>
      </c>
    </row>
    <row r="5" spans="1:5" ht="18.5" x14ac:dyDescent="0.6">
      <c r="A5" s="93" t="s">
        <v>190</v>
      </c>
    </row>
    <row r="6" spans="1:5" ht="18.5" x14ac:dyDescent="0.6">
      <c r="A6" s="93" t="s">
        <v>191</v>
      </c>
    </row>
    <row r="7" spans="1:5" ht="18.5" x14ac:dyDescent="0.6">
      <c r="A7" s="93" t="s">
        <v>202</v>
      </c>
    </row>
    <row r="8" spans="1:5" ht="18.5" x14ac:dyDescent="0.6">
      <c r="A8" s="93" t="s">
        <v>203</v>
      </c>
    </row>
    <row r="9" spans="1:5" ht="16" x14ac:dyDescent="0.6">
      <c r="A9" s="93"/>
    </row>
    <row r="10" spans="1:5" ht="16" x14ac:dyDescent="0.6">
      <c r="A10" s="91" t="s">
        <v>192</v>
      </c>
    </row>
    <row r="11" spans="1:5" ht="18.5" x14ac:dyDescent="0.6">
      <c r="B11" s="91" t="s">
        <v>204</v>
      </c>
    </row>
    <row r="12" spans="1:5" ht="16" x14ac:dyDescent="0.6">
      <c r="A12" s="91"/>
      <c r="B12" t="s">
        <v>205</v>
      </c>
    </row>
    <row r="13" spans="1:5" ht="16" x14ac:dyDescent="0.6">
      <c r="A13" s="90" t="s">
        <v>193</v>
      </c>
    </row>
    <row r="14" spans="1:5" ht="16" x14ac:dyDescent="0.6">
      <c r="A14" s="94" t="s">
        <v>194</v>
      </c>
      <c r="B14" s="94"/>
      <c r="E14" t="s">
        <v>206</v>
      </c>
    </row>
    <row r="15" spans="1:5" ht="16" x14ac:dyDescent="0.6">
      <c r="A15" s="94"/>
      <c r="B15" s="94"/>
    </row>
    <row r="16" spans="1:5" ht="16" x14ac:dyDescent="0.6">
      <c r="A16" s="90" t="s">
        <v>195</v>
      </c>
    </row>
    <row r="17" spans="1:5" ht="18.5" x14ac:dyDescent="0.6">
      <c r="A17" s="91" t="s">
        <v>196</v>
      </c>
      <c r="B17" s="91" t="s">
        <v>197</v>
      </c>
    </row>
    <row r="18" spans="1:5" ht="18.5" x14ac:dyDescent="0.6">
      <c r="C18" s="91" t="s">
        <v>207</v>
      </c>
      <c r="E18" s="91" t="s">
        <v>208</v>
      </c>
    </row>
    <row r="19" spans="1:5" ht="18.5" x14ac:dyDescent="0.6">
      <c r="A19" s="91" t="s">
        <v>198</v>
      </c>
      <c r="B19" s="91" t="s">
        <v>210</v>
      </c>
    </row>
    <row r="20" spans="1:5" ht="18.5" x14ac:dyDescent="0.6">
      <c r="C20" s="91" t="s">
        <v>209</v>
      </c>
    </row>
    <row r="21" spans="1:5" ht="16" x14ac:dyDescent="0.6">
      <c r="C21" s="91"/>
    </row>
    <row r="22" spans="1:5" ht="18.5" x14ac:dyDescent="0.6">
      <c r="A22" s="91" t="s">
        <v>199</v>
      </c>
      <c r="B22" s="91" t="s">
        <v>211</v>
      </c>
      <c r="C22" s="91"/>
    </row>
    <row r="23" spans="1:5" ht="18.5" x14ac:dyDescent="0.6">
      <c r="A23" s="91" t="s">
        <v>200</v>
      </c>
      <c r="B23" s="91" t="s">
        <v>212</v>
      </c>
    </row>
    <row r="24" spans="1:5" ht="16" x14ac:dyDescent="0.8">
      <c r="A24" s="92" t="s">
        <v>201</v>
      </c>
    </row>
    <row r="27" spans="1:5" x14ac:dyDescent="0.6">
      <c r="A27" s="77" t="s">
        <v>163</v>
      </c>
    </row>
    <row r="28" spans="1:5" x14ac:dyDescent="0.6">
      <c r="A28" t="s">
        <v>164</v>
      </c>
      <c r="C28">
        <v>40</v>
      </c>
      <c r="D28" t="s">
        <v>171</v>
      </c>
    </row>
    <row r="29" spans="1:5" x14ac:dyDescent="0.6">
      <c r="A29" t="s">
        <v>165</v>
      </c>
      <c r="C29" s="67">
        <v>3000</v>
      </c>
      <c r="D29" t="s">
        <v>219</v>
      </c>
    </row>
    <row r="30" spans="1:5" x14ac:dyDescent="0.6">
      <c r="A30" t="s">
        <v>166</v>
      </c>
      <c r="C30" s="67">
        <v>6000</v>
      </c>
      <c r="D30" t="s">
        <v>220</v>
      </c>
    </row>
    <row r="31" spans="1:5" x14ac:dyDescent="0.6">
      <c r="A31" t="s">
        <v>167</v>
      </c>
      <c r="C31" s="78">
        <v>0.84</v>
      </c>
      <c r="D31" t="s">
        <v>218</v>
      </c>
    </row>
    <row r="32" spans="1:5" x14ac:dyDescent="0.6">
      <c r="A32" t="s">
        <v>168</v>
      </c>
      <c r="C32" s="67">
        <v>25</v>
      </c>
      <c r="D32" t="s">
        <v>217</v>
      </c>
    </row>
    <row r="33" spans="1:4" x14ac:dyDescent="0.6">
      <c r="A33" t="s">
        <v>169</v>
      </c>
      <c r="C33" s="108">
        <v>37.5</v>
      </c>
      <c r="D33" t="s">
        <v>217</v>
      </c>
    </row>
    <row r="34" spans="1:4" x14ac:dyDescent="0.6">
      <c r="A34" t="s">
        <v>170</v>
      </c>
      <c r="C34" s="78">
        <v>42.4</v>
      </c>
      <c r="D34" t="s">
        <v>216</v>
      </c>
    </row>
    <row r="35" spans="1:4" x14ac:dyDescent="0.6">
      <c r="A35" t="s">
        <v>221</v>
      </c>
      <c r="C35" s="79">
        <v>8</v>
      </c>
      <c r="D35" t="s">
        <v>215</v>
      </c>
    </row>
    <row r="36" spans="1:4" x14ac:dyDescent="0.6">
      <c r="A36" t="s">
        <v>141</v>
      </c>
      <c r="C36" s="107">
        <v>24</v>
      </c>
      <c r="D36" t="s">
        <v>222</v>
      </c>
    </row>
    <row r="37" spans="1:4" x14ac:dyDescent="0.6">
      <c r="A37" t="s">
        <v>223</v>
      </c>
      <c r="C37">
        <v>10</v>
      </c>
      <c r="D37" t="s">
        <v>224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topLeftCell="A17" workbookViewId="0">
      <selection activeCell="F22" sqref="F22"/>
    </sheetView>
  </sheetViews>
  <sheetFormatPr defaultRowHeight="13" x14ac:dyDescent="0.6"/>
  <cols>
    <col min="4" max="4" width="16.54296875" customWidth="1"/>
    <col min="6" max="6" width="9.36328125" bestFit="1" customWidth="1"/>
    <col min="7" max="7" width="11.26953125" customWidth="1"/>
    <col min="8" max="8" width="11.58984375" customWidth="1"/>
    <col min="9" max="9" width="12" customWidth="1"/>
    <col min="10" max="10" width="16.40625" customWidth="1"/>
    <col min="11" max="11" width="10.81640625" customWidth="1"/>
  </cols>
  <sheetData>
    <row r="1" spans="1:14" x14ac:dyDescent="0.6">
      <c r="A1" s="6" t="s">
        <v>185</v>
      </c>
    </row>
    <row r="2" spans="1:14" x14ac:dyDescent="0.6">
      <c r="D2" s="6" t="s">
        <v>128</v>
      </c>
      <c r="K2" s="6" t="s">
        <v>129</v>
      </c>
    </row>
    <row r="3" spans="1:14" x14ac:dyDescent="0.6">
      <c r="A3" s="50" t="s">
        <v>0</v>
      </c>
      <c r="B3" s="51" t="s">
        <v>130</v>
      </c>
      <c r="C3" s="52"/>
      <c r="D3" s="53" t="s">
        <v>131</v>
      </c>
      <c r="E3" s="53" t="s">
        <v>132</v>
      </c>
      <c r="F3" s="53" t="s">
        <v>133</v>
      </c>
      <c r="G3" s="53" t="s">
        <v>134</v>
      </c>
      <c r="H3" s="53" t="s">
        <v>135</v>
      </c>
      <c r="I3" s="53" t="s">
        <v>136</v>
      </c>
      <c r="J3" s="53" t="s">
        <v>137</v>
      </c>
      <c r="K3" s="53" t="s">
        <v>138</v>
      </c>
      <c r="L3" s="53" t="s">
        <v>139</v>
      </c>
      <c r="M3" s="53" t="s">
        <v>140</v>
      </c>
      <c r="N3" s="53" t="s">
        <v>141</v>
      </c>
    </row>
    <row r="4" spans="1:14" x14ac:dyDescent="0.6">
      <c r="A4" s="54">
        <v>0</v>
      </c>
      <c r="B4" s="55"/>
      <c r="C4" s="56"/>
      <c r="D4" s="57">
        <v>40</v>
      </c>
      <c r="E4" s="57">
        <v>0</v>
      </c>
      <c r="F4">
        <v>0</v>
      </c>
      <c r="G4">
        <v>0</v>
      </c>
      <c r="H4">
        <v>0</v>
      </c>
      <c r="I4">
        <v>2000</v>
      </c>
      <c r="K4" s="2" t="s">
        <v>142</v>
      </c>
      <c r="L4" s="2" t="s">
        <v>142</v>
      </c>
      <c r="M4" s="2" t="s">
        <v>176</v>
      </c>
      <c r="N4" s="2" t="s">
        <v>176</v>
      </c>
    </row>
    <row r="5" spans="1:14" x14ac:dyDescent="0.6">
      <c r="A5" s="58" t="s">
        <v>143</v>
      </c>
      <c r="B5" s="59">
        <v>21478</v>
      </c>
      <c r="C5" s="60"/>
      <c r="D5" s="85">
        <v>40</v>
      </c>
      <c r="E5" s="85">
        <v>0</v>
      </c>
      <c r="F5" s="85">
        <v>0</v>
      </c>
      <c r="G5" s="85">
        <v>695.60000000000036</v>
      </c>
      <c r="H5" s="85">
        <v>19478</v>
      </c>
      <c r="I5" s="85">
        <v>0</v>
      </c>
      <c r="J5" s="19">
        <v>65</v>
      </c>
      <c r="K5" s="87">
        <f>D4+E5-F5-D5</f>
        <v>0</v>
      </c>
      <c r="L5" s="87">
        <f>I4+H5-B5-I5</f>
        <v>0</v>
      </c>
      <c r="M5" s="87">
        <f>40*10*D5+5*G5-H5</f>
        <v>0</v>
      </c>
      <c r="N5" s="87">
        <f>24*D5-G5</f>
        <v>264.39999999999964</v>
      </c>
    </row>
    <row r="6" spans="1:14" x14ac:dyDescent="0.6">
      <c r="A6" s="58" t="s">
        <v>144</v>
      </c>
      <c r="B6" s="59">
        <v>17483</v>
      </c>
      <c r="C6" s="60"/>
      <c r="D6" s="85">
        <v>40</v>
      </c>
      <c r="E6" s="85">
        <v>0</v>
      </c>
      <c r="F6" s="85">
        <v>0</v>
      </c>
      <c r="G6" s="85">
        <v>296.60000000000076</v>
      </c>
      <c r="H6" s="85">
        <v>17483</v>
      </c>
      <c r="I6" s="85">
        <v>0</v>
      </c>
      <c r="J6" s="19">
        <v>65</v>
      </c>
      <c r="K6" s="87">
        <f t="shared" ref="K6:K16" si="0">D5+E6-F6-D6</f>
        <v>0</v>
      </c>
      <c r="L6" s="87">
        <f t="shared" ref="L6:L16" si="1">I5+H6-B6-I6</f>
        <v>0</v>
      </c>
      <c r="M6" s="87">
        <f t="shared" ref="M6:M16" si="2">40*10*D6+5*G6-H6</f>
        <v>0</v>
      </c>
      <c r="N6" s="87">
        <f t="shared" ref="N6:N16" si="3">24*D6-G6</f>
        <v>663.39999999999918</v>
      </c>
    </row>
    <row r="7" spans="1:14" x14ac:dyDescent="0.6">
      <c r="A7" s="58" t="s">
        <v>145</v>
      </c>
      <c r="B7" s="59">
        <v>14995</v>
      </c>
      <c r="C7" s="60"/>
      <c r="D7" s="85">
        <v>40</v>
      </c>
      <c r="E7" s="85">
        <v>0</v>
      </c>
      <c r="F7" s="85">
        <v>0</v>
      </c>
      <c r="G7" s="85">
        <v>0</v>
      </c>
      <c r="H7" s="85">
        <v>15999.999999999996</v>
      </c>
      <c r="I7" s="85">
        <v>1004.9999999999967</v>
      </c>
      <c r="J7" s="19">
        <v>65</v>
      </c>
      <c r="K7" s="87">
        <f t="shared" si="0"/>
        <v>0</v>
      </c>
      <c r="L7" s="87">
        <f t="shared" si="1"/>
        <v>0</v>
      </c>
      <c r="M7" s="87">
        <f t="shared" si="2"/>
        <v>0</v>
      </c>
      <c r="N7" s="87">
        <f t="shared" si="3"/>
        <v>960</v>
      </c>
    </row>
    <row r="8" spans="1:14" x14ac:dyDescent="0.6">
      <c r="A8" s="58" t="s">
        <v>146</v>
      </c>
      <c r="B8" s="59">
        <v>15820</v>
      </c>
      <c r="C8" s="60"/>
      <c r="D8" s="85">
        <v>40</v>
      </c>
      <c r="E8" s="85">
        <v>0</v>
      </c>
      <c r="F8" s="85">
        <v>0</v>
      </c>
      <c r="G8" s="85">
        <v>0</v>
      </c>
      <c r="H8" s="85">
        <v>15999.999999999998</v>
      </c>
      <c r="I8" s="85">
        <v>1184.9999999999934</v>
      </c>
      <c r="J8" s="19">
        <v>65</v>
      </c>
      <c r="K8" s="87">
        <f t="shared" si="0"/>
        <v>0</v>
      </c>
      <c r="L8" s="87">
        <f t="shared" si="1"/>
        <v>2.9558577807620168E-12</v>
      </c>
      <c r="M8" s="87">
        <f t="shared" si="2"/>
        <v>0</v>
      </c>
      <c r="N8" s="87">
        <f t="shared" si="3"/>
        <v>960</v>
      </c>
    </row>
    <row r="9" spans="1:14" x14ac:dyDescent="0.6">
      <c r="A9" s="58" t="s">
        <v>147</v>
      </c>
      <c r="B9" s="59">
        <v>11082</v>
      </c>
      <c r="C9" s="60"/>
      <c r="D9" s="85">
        <v>40</v>
      </c>
      <c r="E9" s="85">
        <v>0</v>
      </c>
      <c r="F9" s="85">
        <v>0</v>
      </c>
      <c r="G9" s="85">
        <v>0</v>
      </c>
      <c r="H9" s="85">
        <v>15999.999999999998</v>
      </c>
      <c r="I9" s="85">
        <v>6102.9999999999891</v>
      </c>
      <c r="J9" s="19">
        <v>65</v>
      </c>
      <c r="K9" s="87">
        <f t="shared" si="0"/>
        <v>0</v>
      </c>
      <c r="L9" s="87">
        <f t="shared" si="1"/>
        <v>0</v>
      </c>
      <c r="M9" s="87">
        <f t="shared" si="2"/>
        <v>0</v>
      </c>
      <c r="N9" s="87">
        <f t="shared" si="3"/>
        <v>960</v>
      </c>
    </row>
    <row r="10" spans="1:14" x14ac:dyDescent="0.6">
      <c r="A10" s="58" t="s">
        <v>148</v>
      </c>
      <c r="B10" s="59">
        <v>12860</v>
      </c>
      <c r="C10" s="60"/>
      <c r="D10" s="85">
        <v>40</v>
      </c>
      <c r="E10" s="85">
        <v>0</v>
      </c>
      <c r="F10" s="85">
        <v>0</v>
      </c>
      <c r="G10" s="85">
        <v>0</v>
      </c>
      <c r="H10" s="85">
        <v>16000</v>
      </c>
      <c r="I10" s="85">
        <v>9242.9999999999909</v>
      </c>
      <c r="J10" s="19">
        <v>65</v>
      </c>
      <c r="K10" s="87">
        <f t="shared" si="0"/>
        <v>0</v>
      </c>
      <c r="L10" s="87">
        <f t="shared" si="1"/>
        <v>0</v>
      </c>
      <c r="M10" s="87">
        <f t="shared" si="2"/>
        <v>0</v>
      </c>
      <c r="N10" s="87">
        <f t="shared" si="3"/>
        <v>960</v>
      </c>
    </row>
    <row r="11" spans="1:14" x14ac:dyDescent="0.6">
      <c r="A11" s="58" t="s">
        <v>149</v>
      </c>
      <c r="B11" s="59">
        <v>16317</v>
      </c>
      <c r="C11" s="60"/>
      <c r="D11" s="85">
        <v>40</v>
      </c>
      <c r="E11" s="85">
        <v>0</v>
      </c>
      <c r="F11" s="85">
        <v>0</v>
      </c>
      <c r="G11" s="85">
        <v>0</v>
      </c>
      <c r="H11" s="85">
        <v>15999.999999999998</v>
      </c>
      <c r="I11" s="85">
        <v>8925.9999999999891</v>
      </c>
      <c r="J11" s="19">
        <v>65</v>
      </c>
      <c r="K11" s="87">
        <f t="shared" si="0"/>
        <v>0</v>
      </c>
      <c r="L11" s="87">
        <f t="shared" si="1"/>
        <v>0</v>
      </c>
      <c r="M11" s="87">
        <f t="shared" si="2"/>
        <v>0</v>
      </c>
      <c r="N11" s="87">
        <f t="shared" si="3"/>
        <v>960</v>
      </c>
    </row>
    <row r="12" spans="1:14" x14ac:dyDescent="0.6">
      <c r="A12" s="58" t="s">
        <v>150</v>
      </c>
      <c r="B12" s="59">
        <v>16290</v>
      </c>
      <c r="C12" s="60"/>
      <c r="D12" s="85">
        <v>42.442500000000074</v>
      </c>
      <c r="E12" s="85">
        <v>2.4425000000000665</v>
      </c>
      <c r="F12" s="85">
        <v>0</v>
      </c>
      <c r="G12" s="85">
        <v>0</v>
      </c>
      <c r="H12" s="85">
        <v>16977.000000000025</v>
      </c>
      <c r="I12" s="85">
        <v>9613.0000000000073</v>
      </c>
      <c r="J12" s="19">
        <v>65</v>
      </c>
      <c r="K12" s="87">
        <f t="shared" si="0"/>
        <v>0</v>
      </c>
      <c r="L12" s="87">
        <f t="shared" si="1"/>
        <v>0</v>
      </c>
      <c r="M12" s="87">
        <f t="shared" si="2"/>
        <v>0</v>
      </c>
      <c r="N12" s="87">
        <f t="shared" si="3"/>
        <v>1018.6200000000017</v>
      </c>
    </row>
    <row r="13" spans="1:14" x14ac:dyDescent="0.6">
      <c r="A13" s="58" t="s">
        <v>151</v>
      </c>
      <c r="B13" s="59">
        <v>20531</v>
      </c>
      <c r="C13" s="60"/>
      <c r="D13" s="85">
        <v>45</v>
      </c>
      <c r="E13" s="85">
        <v>2.5574999999999264</v>
      </c>
      <c r="F13" s="85">
        <v>0</v>
      </c>
      <c r="G13" s="85">
        <v>0</v>
      </c>
      <c r="H13" s="85">
        <v>18000</v>
      </c>
      <c r="I13" s="85">
        <v>7082.0000000000164</v>
      </c>
      <c r="J13" s="19">
        <v>65</v>
      </c>
      <c r="K13" s="87">
        <f t="shared" si="0"/>
        <v>0</v>
      </c>
      <c r="L13" s="87">
        <f t="shared" si="1"/>
        <v>-9.0949470177292824E-12</v>
      </c>
      <c r="M13" s="87">
        <f t="shared" si="2"/>
        <v>0</v>
      </c>
      <c r="N13" s="87">
        <f t="shared" si="3"/>
        <v>1080</v>
      </c>
    </row>
    <row r="14" spans="1:14" x14ac:dyDescent="0.6">
      <c r="A14" s="58" t="s">
        <v>152</v>
      </c>
      <c r="B14" s="59">
        <v>21732</v>
      </c>
      <c r="C14" s="60"/>
      <c r="D14" s="85">
        <v>45</v>
      </c>
      <c r="E14" s="85">
        <v>0</v>
      </c>
      <c r="F14" s="85">
        <v>0</v>
      </c>
      <c r="G14" s="85">
        <v>0</v>
      </c>
      <c r="H14" s="85">
        <v>17999.999999999996</v>
      </c>
      <c r="I14" s="85">
        <v>3350.0000000000073</v>
      </c>
      <c r="J14" s="19">
        <v>65</v>
      </c>
      <c r="K14" s="87">
        <f t="shared" si="0"/>
        <v>0</v>
      </c>
      <c r="L14" s="87">
        <f t="shared" si="1"/>
        <v>7.2759576141834259E-12</v>
      </c>
      <c r="M14" s="87">
        <f t="shared" si="2"/>
        <v>0</v>
      </c>
      <c r="N14" s="87">
        <f t="shared" si="3"/>
        <v>1080</v>
      </c>
    </row>
    <row r="15" spans="1:14" x14ac:dyDescent="0.6">
      <c r="A15" s="58" t="s">
        <v>153</v>
      </c>
      <c r="B15" s="59">
        <v>22251</v>
      </c>
      <c r="C15" s="60"/>
      <c r="D15" s="85">
        <v>45</v>
      </c>
      <c r="E15" s="85">
        <v>0</v>
      </c>
      <c r="F15" s="85">
        <v>0</v>
      </c>
      <c r="G15" s="85">
        <v>1079.9999999999991</v>
      </c>
      <c r="H15" s="85">
        <v>23400</v>
      </c>
      <c r="I15" s="85">
        <v>4499.0000000000027</v>
      </c>
      <c r="J15" s="19">
        <v>65</v>
      </c>
      <c r="K15" s="87">
        <f t="shared" si="0"/>
        <v>0</v>
      </c>
      <c r="L15" s="87">
        <f t="shared" si="1"/>
        <v>0</v>
      </c>
      <c r="M15" s="87">
        <f t="shared" si="2"/>
        <v>0</v>
      </c>
      <c r="N15" s="87">
        <f t="shared" si="3"/>
        <v>0</v>
      </c>
    </row>
    <row r="16" spans="1:14" x14ac:dyDescent="0.6">
      <c r="A16" s="61" t="s">
        <v>154</v>
      </c>
      <c r="B16" s="62">
        <v>25899</v>
      </c>
      <c r="C16" s="63"/>
      <c r="D16" s="85">
        <v>45</v>
      </c>
      <c r="E16" s="85">
        <v>0</v>
      </c>
      <c r="F16" s="85">
        <v>0</v>
      </c>
      <c r="G16" s="85">
        <v>1080</v>
      </c>
      <c r="H16" s="85">
        <v>23399.999999999996</v>
      </c>
      <c r="I16" s="85">
        <v>2000</v>
      </c>
      <c r="J16" s="19">
        <v>65</v>
      </c>
      <c r="K16" s="87">
        <f t="shared" si="0"/>
        <v>0</v>
      </c>
      <c r="L16" s="87">
        <f t="shared" si="1"/>
        <v>0</v>
      </c>
      <c r="M16" s="87">
        <f t="shared" si="2"/>
        <v>0</v>
      </c>
      <c r="N16" s="87">
        <f t="shared" si="3"/>
        <v>0</v>
      </c>
    </row>
    <row r="17" spans="1:14" x14ac:dyDescent="0.6">
      <c r="A17" s="82" t="s">
        <v>175</v>
      </c>
      <c r="B17" s="64">
        <f>SUM(B5:B16)</f>
        <v>216738</v>
      </c>
      <c r="J17" s="96" t="s">
        <v>175</v>
      </c>
    </row>
    <row r="19" spans="1:14" x14ac:dyDescent="0.6">
      <c r="D19" s="6" t="s">
        <v>155</v>
      </c>
    </row>
    <row r="20" spans="1:14" x14ac:dyDescent="0.6">
      <c r="C20" s="53" t="s">
        <v>0</v>
      </c>
      <c r="D20" s="2" t="s">
        <v>156</v>
      </c>
      <c r="E20" s="2" t="s">
        <v>157</v>
      </c>
      <c r="F20" s="2" t="s">
        <v>158</v>
      </c>
      <c r="G20" s="2" t="s">
        <v>141</v>
      </c>
      <c r="H20" s="2" t="s">
        <v>159</v>
      </c>
      <c r="I20" s="2" t="s">
        <v>139</v>
      </c>
      <c r="J20" s="2" t="s">
        <v>213</v>
      </c>
      <c r="K20" s="80"/>
      <c r="L20" s="80"/>
      <c r="M20" s="80"/>
      <c r="N20" s="80"/>
    </row>
    <row r="21" spans="1:14" x14ac:dyDescent="0.6">
      <c r="C21" s="65" t="s">
        <v>143</v>
      </c>
      <c r="D21" s="86">
        <f>D5*$D$44*10*$D$47</f>
        <v>80000</v>
      </c>
      <c r="E21" s="86">
        <f>E5*$D$41</f>
        <v>0</v>
      </c>
      <c r="F21" s="86">
        <f>F5*$D$42</f>
        <v>0</v>
      </c>
      <c r="G21" s="86">
        <f>$D$45*G5</f>
        <v>26085.000000000015</v>
      </c>
      <c r="H21" s="86">
        <f>$D$46*H5</f>
        <v>825867.2</v>
      </c>
      <c r="I21" s="86">
        <f>I5*$D$43</f>
        <v>0</v>
      </c>
      <c r="J21" s="97"/>
      <c r="K21" s="81"/>
      <c r="L21" s="59"/>
      <c r="M21" s="59"/>
      <c r="N21" s="59"/>
    </row>
    <row r="22" spans="1:14" x14ac:dyDescent="0.6">
      <c r="C22" s="65" t="s">
        <v>144</v>
      </c>
      <c r="D22" s="86">
        <f t="shared" ref="D22:D32" si="4">D6*$D$44*10*$D$47</f>
        <v>80000</v>
      </c>
      <c r="E22" s="86">
        <f t="shared" ref="E22:E32" si="5">E6*$D$41</f>
        <v>0</v>
      </c>
      <c r="F22" s="86">
        <f t="shared" ref="F22:F32" si="6">F6*$D$42</f>
        <v>0</v>
      </c>
      <c r="G22" s="86">
        <f t="shared" ref="G22:G32" si="7">$D$45*G6</f>
        <v>11122.500000000029</v>
      </c>
      <c r="H22" s="86">
        <f t="shared" ref="H22:H32" si="8">$D$46*H6</f>
        <v>741279.2</v>
      </c>
      <c r="I22" s="86">
        <f t="shared" ref="I22:I32" si="9">I6*$D$43</f>
        <v>0</v>
      </c>
      <c r="J22" s="98">
        <v>950</v>
      </c>
      <c r="K22" s="81"/>
      <c r="L22" s="59"/>
      <c r="M22" s="59"/>
      <c r="N22" s="59"/>
    </row>
    <row r="23" spans="1:14" x14ac:dyDescent="0.6">
      <c r="C23" s="65" t="s">
        <v>145</v>
      </c>
      <c r="D23" s="86">
        <f t="shared" si="4"/>
        <v>80000</v>
      </c>
      <c r="E23" s="86">
        <f t="shared" si="5"/>
        <v>0</v>
      </c>
      <c r="F23" s="86">
        <f t="shared" si="6"/>
        <v>0</v>
      </c>
      <c r="G23" s="86">
        <f t="shared" si="7"/>
        <v>0</v>
      </c>
      <c r="H23" s="86">
        <f t="shared" si="8"/>
        <v>678399.99999999977</v>
      </c>
      <c r="I23" s="86">
        <f t="shared" si="9"/>
        <v>844.1999999999972</v>
      </c>
      <c r="J23" s="98">
        <v>950</v>
      </c>
      <c r="K23" s="81"/>
      <c r="L23" s="59"/>
      <c r="M23" s="59"/>
      <c r="N23" s="59"/>
    </row>
    <row r="24" spans="1:14" x14ac:dyDescent="0.6">
      <c r="C24" s="65" t="s">
        <v>146</v>
      </c>
      <c r="D24" s="86">
        <f t="shared" si="4"/>
        <v>80000</v>
      </c>
      <c r="E24" s="86">
        <f t="shared" si="5"/>
        <v>0</v>
      </c>
      <c r="F24" s="86">
        <f t="shared" si="6"/>
        <v>0</v>
      </c>
      <c r="G24" s="86">
        <f t="shared" si="7"/>
        <v>0</v>
      </c>
      <c r="H24" s="86">
        <f t="shared" si="8"/>
        <v>678399.99999999988</v>
      </c>
      <c r="I24" s="86">
        <f t="shared" si="9"/>
        <v>995.39999999999441</v>
      </c>
      <c r="J24" s="98">
        <v>950</v>
      </c>
      <c r="K24" s="81"/>
      <c r="L24" s="59"/>
      <c r="M24" s="59"/>
      <c r="N24" s="59"/>
    </row>
    <row r="25" spans="1:14" x14ac:dyDescent="0.6">
      <c r="C25" s="65" t="s">
        <v>147</v>
      </c>
      <c r="D25" s="86">
        <f t="shared" si="4"/>
        <v>80000</v>
      </c>
      <c r="E25" s="86">
        <f t="shared" si="5"/>
        <v>0</v>
      </c>
      <c r="F25" s="86">
        <f t="shared" si="6"/>
        <v>0</v>
      </c>
      <c r="G25" s="86">
        <f t="shared" si="7"/>
        <v>0</v>
      </c>
      <c r="H25" s="86">
        <f t="shared" si="8"/>
        <v>678399.99999999988</v>
      </c>
      <c r="I25" s="86">
        <f t="shared" si="9"/>
        <v>5126.5199999999904</v>
      </c>
      <c r="J25" s="98">
        <v>950</v>
      </c>
      <c r="K25" s="81"/>
      <c r="L25" s="59"/>
      <c r="M25" s="59"/>
      <c r="N25" s="59"/>
    </row>
    <row r="26" spans="1:14" x14ac:dyDescent="0.6">
      <c r="C26" s="65" t="s">
        <v>148</v>
      </c>
      <c r="D26" s="86">
        <f t="shared" si="4"/>
        <v>80000</v>
      </c>
      <c r="E26" s="86">
        <f t="shared" si="5"/>
        <v>0</v>
      </c>
      <c r="F26" s="86">
        <f t="shared" si="6"/>
        <v>0</v>
      </c>
      <c r="G26" s="86">
        <f t="shared" si="7"/>
        <v>0</v>
      </c>
      <c r="H26" s="86">
        <f t="shared" si="8"/>
        <v>678400</v>
      </c>
      <c r="I26" s="86">
        <f t="shared" si="9"/>
        <v>7764.1199999999917</v>
      </c>
      <c r="J26" s="98">
        <v>950</v>
      </c>
      <c r="K26" s="81"/>
      <c r="L26" s="59"/>
      <c r="M26" s="59"/>
      <c r="N26" s="66"/>
    </row>
    <row r="27" spans="1:14" x14ac:dyDescent="0.6">
      <c r="C27" s="65" t="s">
        <v>149</v>
      </c>
      <c r="D27" s="86">
        <f t="shared" si="4"/>
        <v>80000</v>
      </c>
      <c r="E27" s="86">
        <f t="shared" si="5"/>
        <v>0</v>
      </c>
      <c r="F27" s="86">
        <f t="shared" si="6"/>
        <v>0</v>
      </c>
      <c r="G27" s="86">
        <f t="shared" si="7"/>
        <v>0</v>
      </c>
      <c r="H27" s="86">
        <f t="shared" si="8"/>
        <v>678399.99999999988</v>
      </c>
      <c r="I27" s="86">
        <f t="shared" si="9"/>
        <v>7497.8399999999901</v>
      </c>
      <c r="J27" s="98">
        <v>950</v>
      </c>
      <c r="K27" s="81"/>
      <c r="L27" s="59"/>
      <c r="M27" s="59"/>
      <c r="N27" s="66"/>
    </row>
    <row r="28" spans="1:14" x14ac:dyDescent="0.6">
      <c r="C28" s="65" t="s">
        <v>150</v>
      </c>
      <c r="D28" s="86">
        <f t="shared" si="4"/>
        <v>84885.000000000146</v>
      </c>
      <c r="E28" s="86">
        <f t="shared" si="5"/>
        <v>7327.5000000001992</v>
      </c>
      <c r="F28" s="86">
        <f t="shared" si="6"/>
        <v>0</v>
      </c>
      <c r="G28" s="86">
        <f t="shared" si="7"/>
        <v>0</v>
      </c>
      <c r="H28" s="86">
        <f t="shared" si="8"/>
        <v>719824.80000000109</v>
      </c>
      <c r="I28" s="86">
        <f t="shared" si="9"/>
        <v>8074.9200000000055</v>
      </c>
      <c r="J28" s="98">
        <v>950</v>
      </c>
      <c r="K28" s="81"/>
      <c r="L28" s="59"/>
      <c r="M28" s="66"/>
      <c r="N28" s="66"/>
    </row>
    <row r="29" spans="1:14" x14ac:dyDescent="0.6">
      <c r="C29" s="65" t="s">
        <v>151</v>
      </c>
      <c r="D29" s="86">
        <f t="shared" si="4"/>
        <v>90000</v>
      </c>
      <c r="E29" s="86">
        <f t="shared" si="5"/>
        <v>7672.499999999779</v>
      </c>
      <c r="F29" s="86">
        <f t="shared" si="6"/>
        <v>0</v>
      </c>
      <c r="G29" s="86">
        <f t="shared" si="7"/>
        <v>0</v>
      </c>
      <c r="H29" s="86">
        <f t="shared" si="8"/>
        <v>763200</v>
      </c>
      <c r="I29" s="86">
        <f t="shared" si="9"/>
        <v>5948.8800000000138</v>
      </c>
      <c r="J29" s="98">
        <v>950</v>
      </c>
      <c r="K29" s="81"/>
      <c r="L29" s="59"/>
      <c r="M29" s="66"/>
      <c r="N29" s="59"/>
    </row>
    <row r="30" spans="1:14" x14ac:dyDescent="0.6">
      <c r="C30" s="65" t="s">
        <v>152</v>
      </c>
      <c r="D30" s="86">
        <f t="shared" si="4"/>
        <v>90000</v>
      </c>
      <c r="E30" s="86">
        <f t="shared" si="5"/>
        <v>0</v>
      </c>
      <c r="F30" s="86">
        <f t="shared" si="6"/>
        <v>0</v>
      </c>
      <c r="G30" s="86">
        <f t="shared" si="7"/>
        <v>0</v>
      </c>
      <c r="H30" s="86">
        <f t="shared" si="8"/>
        <v>763199.99999999977</v>
      </c>
      <c r="I30" s="86">
        <f t="shared" si="9"/>
        <v>2814.0000000000059</v>
      </c>
      <c r="J30" s="98">
        <v>950</v>
      </c>
      <c r="K30" s="81"/>
      <c r="L30" s="59"/>
      <c r="M30" s="66"/>
      <c r="N30" s="59"/>
    </row>
    <row r="31" spans="1:14" x14ac:dyDescent="0.6">
      <c r="C31" s="65" t="s">
        <v>153</v>
      </c>
      <c r="D31" s="86">
        <f t="shared" si="4"/>
        <v>90000</v>
      </c>
      <c r="E31" s="86">
        <f t="shared" si="5"/>
        <v>0</v>
      </c>
      <c r="F31" s="86">
        <f t="shared" si="6"/>
        <v>0</v>
      </c>
      <c r="G31" s="86">
        <f t="shared" si="7"/>
        <v>40499.999999999964</v>
      </c>
      <c r="H31" s="86">
        <f t="shared" si="8"/>
        <v>992160</v>
      </c>
      <c r="I31" s="86">
        <f t="shared" si="9"/>
        <v>3779.1600000000021</v>
      </c>
      <c r="J31" s="98">
        <v>950</v>
      </c>
      <c r="K31" s="81"/>
      <c r="L31" s="59"/>
      <c r="M31" s="59"/>
      <c r="N31" s="59"/>
    </row>
    <row r="32" spans="1:14" x14ac:dyDescent="0.6">
      <c r="C32" s="65" t="s">
        <v>154</v>
      </c>
      <c r="D32" s="86">
        <f t="shared" si="4"/>
        <v>90000</v>
      </c>
      <c r="E32" s="86">
        <f t="shared" si="5"/>
        <v>0</v>
      </c>
      <c r="F32" s="86">
        <f t="shared" si="6"/>
        <v>0</v>
      </c>
      <c r="G32" s="86">
        <f t="shared" si="7"/>
        <v>40500</v>
      </c>
      <c r="H32" s="86">
        <f t="shared" si="8"/>
        <v>992159.99999999977</v>
      </c>
      <c r="I32" s="86">
        <f t="shared" si="9"/>
        <v>1680</v>
      </c>
      <c r="J32" s="98">
        <v>950</v>
      </c>
      <c r="K32" s="81"/>
      <c r="L32" s="59"/>
      <c r="M32" s="59"/>
      <c r="N32" s="59"/>
    </row>
    <row r="33" spans="2:11" x14ac:dyDescent="0.6">
      <c r="C33" s="65" t="s">
        <v>177</v>
      </c>
      <c r="D33" s="67">
        <f>SUM(D21:D32)</f>
        <v>1004885.0000000001</v>
      </c>
      <c r="E33" s="67">
        <f t="shared" ref="E33:I33" si="10">SUM(E21:E32)</f>
        <v>14999.999999999978</v>
      </c>
      <c r="F33" s="67">
        <f t="shared" si="10"/>
        <v>0</v>
      </c>
      <c r="G33" s="67">
        <f t="shared" si="10"/>
        <v>118207.5</v>
      </c>
      <c r="H33" s="67">
        <f t="shared" si="10"/>
        <v>9189691.1999999993</v>
      </c>
      <c r="I33" s="67">
        <f t="shared" si="10"/>
        <v>44525.039999999994</v>
      </c>
    </row>
    <row r="34" spans="2:11" x14ac:dyDescent="0.6">
      <c r="D34" s="67"/>
      <c r="E34" s="67"/>
      <c r="F34" s="67"/>
      <c r="G34" s="67"/>
      <c r="H34" s="67"/>
      <c r="I34" s="67"/>
    </row>
    <row r="35" spans="2:11" x14ac:dyDescent="0.6">
      <c r="B35" s="68" t="s">
        <v>160</v>
      </c>
      <c r="C35" s="69"/>
      <c r="D35" s="70">
        <f>SUM(D21:J32)</f>
        <v>10382758.74</v>
      </c>
      <c r="E35" s="64"/>
      <c r="H35" s="105" t="s">
        <v>0</v>
      </c>
      <c r="I35" s="105" t="s">
        <v>161</v>
      </c>
      <c r="J35" s="106" t="s">
        <v>214</v>
      </c>
      <c r="K35" s="109" t="s">
        <v>162</v>
      </c>
    </row>
    <row r="36" spans="2:11" x14ac:dyDescent="0.6">
      <c r="B36" s="71" t="s">
        <v>161</v>
      </c>
      <c r="C36" s="72"/>
      <c r="D36" s="73">
        <f>SUMPRODUCT(B5:B16,J5:J16)</f>
        <v>14087970</v>
      </c>
      <c r="H36" s="104" t="s">
        <v>143</v>
      </c>
      <c r="I36" s="99">
        <f t="shared" ref="I36:I47" si="11">B5*J5</f>
        <v>1396070</v>
      </c>
      <c r="J36" s="100">
        <f>SUM(D21:I21)</f>
        <v>931952.2</v>
      </c>
      <c r="K36" s="99">
        <f>I36-J36</f>
        <v>464117.80000000005</v>
      </c>
    </row>
    <row r="37" spans="2:11" x14ac:dyDescent="0.6">
      <c r="B37" s="74" t="s">
        <v>162</v>
      </c>
      <c r="C37" s="75"/>
      <c r="D37" s="76">
        <f>D36-D35</f>
        <v>3705211.26</v>
      </c>
      <c r="H37" s="104" t="s">
        <v>144</v>
      </c>
      <c r="I37" s="99">
        <f t="shared" si="11"/>
        <v>1136395</v>
      </c>
      <c r="J37" s="100">
        <f>SUM(D22:D22:J22)</f>
        <v>833351.7</v>
      </c>
      <c r="K37" s="99">
        <f t="shared" ref="K37:K47" si="12">I37-J37</f>
        <v>303043.30000000005</v>
      </c>
    </row>
    <row r="38" spans="2:11" x14ac:dyDescent="0.6">
      <c r="H38" s="104" t="s">
        <v>145</v>
      </c>
      <c r="I38" s="99">
        <f t="shared" si="11"/>
        <v>974675</v>
      </c>
      <c r="J38" s="100">
        <f>SUM(D23:D23:J23)</f>
        <v>760194.19999999972</v>
      </c>
      <c r="K38" s="99">
        <f t="shared" si="12"/>
        <v>214480.80000000028</v>
      </c>
    </row>
    <row r="39" spans="2:11" x14ac:dyDescent="0.6">
      <c r="B39" s="77" t="s">
        <v>163</v>
      </c>
      <c r="H39" s="104" t="s">
        <v>146</v>
      </c>
      <c r="I39" s="99">
        <f t="shared" si="11"/>
        <v>1028300</v>
      </c>
      <c r="J39" s="100">
        <f>SUM(D24:D24:J24)</f>
        <v>760345.39999999991</v>
      </c>
      <c r="K39" s="99">
        <f t="shared" si="12"/>
        <v>267954.60000000009</v>
      </c>
    </row>
    <row r="40" spans="2:11" x14ac:dyDescent="0.6">
      <c r="B40" t="s">
        <v>164</v>
      </c>
      <c r="D40">
        <v>40</v>
      </c>
      <c r="E40" t="s">
        <v>171</v>
      </c>
      <c r="H40" s="104" t="s">
        <v>147</v>
      </c>
      <c r="I40" s="99">
        <f t="shared" si="11"/>
        <v>720330</v>
      </c>
      <c r="J40" s="100">
        <f>SUM(D25:D25:J25)</f>
        <v>764476.5199999999</v>
      </c>
      <c r="K40" s="99">
        <f t="shared" si="12"/>
        <v>-44146.519999999902</v>
      </c>
    </row>
    <row r="41" spans="2:11" x14ac:dyDescent="0.6">
      <c r="B41" t="s">
        <v>165</v>
      </c>
      <c r="D41" s="67">
        <v>3000</v>
      </c>
      <c r="E41" t="s">
        <v>219</v>
      </c>
      <c r="H41" s="104" t="s">
        <v>148</v>
      </c>
      <c r="I41" s="99">
        <f t="shared" si="11"/>
        <v>835900</v>
      </c>
      <c r="J41" s="100">
        <f>SUM(D26:D26:J26)</f>
        <v>767114.12</v>
      </c>
      <c r="K41" s="99">
        <f t="shared" si="12"/>
        <v>68785.88</v>
      </c>
    </row>
    <row r="42" spans="2:11" x14ac:dyDescent="0.6">
      <c r="B42" t="s">
        <v>166</v>
      </c>
      <c r="D42" s="67">
        <v>6000</v>
      </c>
      <c r="E42" t="s">
        <v>220</v>
      </c>
      <c r="H42" s="104" t="s">
        <v>149</v>
      </c>
      <c r="I42" s="99">
        <f t="shared" si="11"/>
        <v>1060605</v>
      </c>
      <c r="J42" s="100">
        <f>SUM(D27:D27:J27)</f>
        <v>766847.83999999985</v>
      </c>
      <c r="K42" s="99">
        <f t="shared" si="12"/>
        <v>293757.16000000015</v>
      </c>
    </row>
    <row r="43" spans="2:11" x14ac:dyDescent="0.6">
      <c r="B43" t="s">
        <v>167</v>
      </c>
      <c r="D43" s="78">
        <v>0.84</v>
      </c>
      <c r="E43" t="s">
        <v>218</v>
      </c>
      <c r="H43" s="104" t="s">
        <v>150</v>
      </c>
      <c r="I43" s="99">
        <f t="shared" si="11"/>
        <v>1058850</v>
      </c>
      <c r="J43" s="100">
        <f>SUM(D28:D28:J28)</f>
        <v>821062.22000000149</v>
      </c>
      <c r="K43" s="99">
        <f t="shared" si="12"/>
        <v>237787.77999999851</v>
      </c>
    </row>
    <row r="44" spans="2:11" x14ac:dyDescent="0.6">
      <c r="B44" t="s">
        <v>168</v>
      </c>
      <c r="D44" s="67">
        <v>25</v>
      </c>
      <c r="E44" t="s">
        <v>217</v>
      </c>
      <c r="H44" s="104" t="s">
        <v>151</v>
      </c>
      <c r="I44" s="99">
        <f t="shared" si="11"/>
        <v>1334515</v>
      </c>
      <c r="J44" s="100">
        <f>SUM(D29:D29:J29)</f>
        <v>867771.37999999977</v>
      </c>
      <c r="K44" s="99">
        <f t="shared" si="12"/>
        <v>466743.62000000023</v>
      </c>
    </row>
    <row r="45" spans="2:11" x14ac:dyDescent="0.6">
      <c r="B45" t="s">
        <v>169</v>
      </c>
      <c r="D45" s="108">
        <v>37.5</v>
      </c>
      <c r="E45" t="s">
        <v>217</v>
      </c>
      <c r="H45" s="104" t="s">
        <v>152</v>
      </c>
      <c r="I45" s="99">
        <f t="shared" si="11"/>
        <v>1412580</v>
      </c>
      <c r="J45" s="100">
        <f>SUM(D30:D30:J30)</f>
        <v>856963.99999999977</v>
      </c>
      <c r="K45" s="99">
        <f t="shared" si="12"/>
        <v>555616.00000000023</v>
      </c>
    </row>
    <row r="46" spans="2:11" x14ac:dyDescent="0.6">
      <c r="B46" t="s">
        <v>170</v>
      </c>
      <c r="D46" s="78">
        <v>42.4</v>
      </c>
      <c r="E46" t="s">
        <v>216</v>
      </c>
      <c r="H46" s="104" t="s">
        <v>153</v>
      </c>
      <c r="I46" s="99">
        <f t="shared" si="11"/>
        <v>1446315</v>
      </c>
      <c r="J46" s="100">
        <f>SUM(D31:D31:J31)</f>
        <v>1127389.1599999999</v>
      </c>
      <c r="K46" s="99">
        <f t="shared" si="12"/>
        <v>318925.84000000008</v>
      </c>
    </row>
    <row r="47" spans="2:11" x14ac:dyDescent="0.6">
      <c r="B47" t="s">
        <v>221</v>
      </c>
      <c r="D47" s="79">
        <v>8</v>
      </c>
      <c r="E47" t="s">
        <v>215</v>
      </c>
      <c r="H47" s="104" t="s">
        <v>154</v>
      </c>
      <c r="I47" s="99">
        <f t="shared" si="11"/>
        <v>1683435</v>
      </c>
      <c r="J47" s="100">
        <f>SUM(D32:D32:J32)</f>
        <v>1125289.9999999998</v>
      </c>
      <c r="K47" s="99">
        <f t="shared" si="12"/>
        <v>558145.00000000023</v>
      </c>
    </row>
    <row r="48" spans="2:11" x14ac:dyDescent="0.6">
      <c r="B48" t="s">
        <v>141</v>
      </c>
      <c r="D48" s="107">
        <v>24</v>
      </c>
      <c r="E48" t="s">
        <v>222</v>
      </c>
      <c r="H48" s="101" t="s">
        <v>177</v>
      </c>
      <c r="I48" s="102">
        <f>SUM(I36:I47)</f>
        <v>14087970</v>
      </c>
      <c r="J48" s="103">
        <f>SUM(J36:J47)</f>
        <v>10382758.74</v>
      </c>
      <c r="K48" s="102">
        <f>SUM(K36:K47)</f>
        <v>3705211.2599999988</v>
      </c>
    </row>
    <row r="49" spans="2:5" x14ac:dyDescent="0.6">
      <c r="B49" t="s">
        <v>223</v>
      </c>
      <c r="D49">
        <v>10</v>
      </c>
      <c r="E49" t="s">
        <v>224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Winter's Model</vt:lpstr>
      <vt:lpstr>Cycle Stock</vt:lpstr>
      <vt:lpstr>Saftey Stock</vt:lpstr>
      <vt:lpstr>Agg Model Fuction</vt:lpstr>
      <vt:lpstr>Aggregate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dc:creator>
  <cp:lastModifiedBy>Darshan Dalvi</cp:lastModifiedBy>
  <cp:lastPrinted>2017-06-23T18:48:59Z</cp:lastPrinted>
  <dcterms:created xsi:type="dcterms:W3CDTF">2010-06-18T12:55:51Z</dcterms:created>
  <dcterms:modified xsi:type="dcterms:W3CDTF">2017-11-30T22:30:26Z</dcterms:modified>
</cp:coreProperties>
</file>