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7b431063a93cf1/Hobbies/3D Printing/designs/HyperCube_Evolution/files/"/>
    </mc:Choice>
  </mc:AlternateContent>
  <bookViews>
    <workbookView xWindow="0" yWindow="0" windowWidth="28800" windowHeight="12210" activeTab="2"/>
  </bookViews>
  <sheets>
    <sheet name="Sheet1" sheetId="2" r:id="rId1"/>
    <sheet name="Configuration" sheetId="1" r:id="rId2"/>
    <sheet name="Print List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2" l="1"/>
  <c r="E30" i="1" l="1"/>
  <c r="E26" i="1"/>
  <c r="E24" i="1"/>
  <c r="C28" i="2"/>
  <c r="C18" i="2" s="1"/>
  <c r="C27" i="2"/>
  <c r="C26" i="2"/>
  <c r="C25" i="2"/>
  <c r="C10" i="2" s="1"/>
  <c r="C24" i="2"/>
  <c r="C9" i="2" s="1"/>
  <c r="G26" i="2"/>
  <c r="G38" i="2" s="1"/>
  <c r="C8" i="2" s="1"/>
  <c r="C25" i="1" s="1"/>
  <c r="G17" i="2"/>
  <c r="G7" i="2"/>
  <c r="G22" i="2" s="1"/>
  <c r="I36" i="2" s="1"/>
  <c r="J43" i="2" l="1"/>
  <c r="I44" i="2"/>
  <c r="I37" i="2"/>
  <c r="I41" i="2"/>
  <c r="C15" i="2"/>
  <c r="C27" i="1" s="1"/>
  <c r="C11" i="2"/>
  <c r="I40" i="2"/>
  <c r="I43" i="2" s="1"/>
  <c r="C12" i="2"/>
  <c r="J41" i="2"/>
  <c r="J44" i="2" s="1"/>
  <c r="G44" i="2" s="1"/>
  <c r="G32" i="2"/>
  <c r="C30" i="1" s="1"/>
  <c r="J36" i="2"/>
  <c r="G36" i="2" s="1"/>
  <c r="C6" i="2" s="1"/>
  <c r="J37" i="2"/>
  <c r="C16" i="2"/>
  <c r="G43" i="2" l="1"/>
  <c r="G45" i="2" s="1"/>
  <c r="F17" i="1" s="1"/>
  <c r="G37" i="2"/>
  <c r="C7" i="2" s="1"/>
  <c r="C14" i="2"/>
  <c r="J40" i="2"/>
  <c r="G12" i="2"/>
  <c r="C28" i="1" s="1"/>
  <c r="C23" i="1"/>
  <c r="C24" i="1" l="1"/>
  <c r="G23" i="2"/>
  <c r="C29" i="1" s="1"/>
  <c r="C26" i="1"/>
</calcChain>
</file>

<file path=xl/sharedStrings.xml><?xml version="1.0" encoding="utf-8"?>
<sst xmlns="http://schemas.openxmlformats.org/spreadsheetml/2006/main" count="227" uniqueCount="163">
  <si>
    <t>Parameter name</t>
  </si>
  <si>
    <t>Equation</t>
  </si>
  <si>
    <t>Unit</t>
  </si>
  <si>
    <t>frame_height</t>
  </si>
  <si>
    <t>frame_width</t>
  </si>
  <si>
    <t>mm</t>
  </si>
  <si>
    <t>frame_depth</t>
  </si>
  <si>
    <t>extrusion_size</t>
  </si>
  <si>
    <t xml:space="preserve"> HyperCube </t>
  </si>
  <si>
    <t>Build Platform</t>
  </si>
  <si>
    <t>platform_width</t>
  </si>
  <si>
    <t>platform_depth</t>
  </si>
  <si>
    <t>Mk2 Heat Bed</t>
  </si>
  <si>
    <t>hole_spacing_width</t>
  </si>
  <si>
    <t>hole_spacing_depth</t>
  </si>
  <si>
    <t>y_carriage_depth</t>
  </si>
  <si>
    <t>y_carriage_width</t>
  </si>
  <si>
    <t>from CL of Y axis guide to inside edge</t>
  </si>
  <si>
    <t>2 x length of LM10UU bearing</t>
  </si>
  <si>
    <t>x_carriage_width</t>
  </si>
  <si>
    <t>y_min_offset</t>
  </si>
  <si>
    <t>y_max_offset</t>
  </si>
  <si>
    <t>y min offset from inside of frame = width of XY motor mount</t>
  </si>
  <si>
    <t>y max offset from inside of frame = thickness of XY idler</t>
  </si>
  <si>
    <t>X Axis</t>
  </si>
  <si>
    <t>Y Axis</t>
  </si>
  <si>
    <t>Z Axis</t>
  </si>
  <si>
    <t>z_guide_diameter</t>
  </si>
  <si>
    <t>z_guide_y_offset</t>
  </si>
  <si>
    <t>CL offset from inside of frame</t>
  </si>
  <si>
    <t>x_carriage_depth_rear</t>
  </si>
  <si>
    <t>y offset from CL of x guides to rear of x carriage</t>
  </si>
  <si>
    <t>x_carriage_nozzle_offset</t>
  </si>
  <si>
    <t xml:space="preserve">y offset from CL of x guides to CL of nozzle </t>
  </si>
  <si>
    <t>x_guide_spacing</t>
  </si>
  <si>
    <t>length of x axis guides</t>
  </si>
  <si>
    <t>min_frame_width</t>
  </si>
  <si>
    <t>x_guide_length</t>
  </si>
  <si>
    <t>y_guide_min_spacing</t>
  </si>
  <si>
    <t>min_frame_depth</t>
  </si>
  <si>
    <t>y_guide_length</t>
  </si>
  <si>
    <t>bed_frame_width</t>
  </si>
  <si>
    <t>bed_extrusion_size</t>
  </si>
  <si>
    <t>bed_frame_depth</t>
  </si>
  <si>
    <t>bed_cl_y_offset</t>
  </si>
  <si>
    <t>T8_screw_length</t>
  </si>
  <si>
    <r>
      <t>Evolution</t>
    </r>
    <r>
      <rPr>
        <sz val="12"/>
        <rFont val="Courier New"/>
        <family val="3"/>
      </rPr>
      <t xml:space="preserve"> </t>
    </r>
  </si>
  <si>
    <t>z_nozzle_offset</t>
  </si>
  <si>
    <t>Distance from top of frame to underside of nozzle</t>
  </si>
  <si>
    <t>z_bed_height</t>
  </si>
  <si>
    <t>Distance from bottom of Z bearing holder to print surface</t>
  </si>
  <si>
    <t>z_min_offset</t>
  </si>
  <si>
    <t>Distance from bottom of frame to underside of Z bearing holder in Z Max position (bottom)</t>
  </si>
  <si>
    <t>Z linear guide diameter</t>
  </si>
  <si>
    <t>z_bed_travel_req</t>
  </si>
  <si>
    <t>min_frame_height</t>
  </si>
  <si>
    <t>3030 Extrusion</t>
  </si>
  <si>
    <t>Design parameters</t>
  </si>
  <si>
    <t>2020 Extrusion</t>
  </si>
  <si>
    <t>Note: lead screw should be this length + nut length</t>
  </si>
  <si>
    <t>X width</t>
  </si>
  <si>
    <t>Y depth</t>
  </si>
  <si>
    <t>Name</t>
  </si>
  <si>
    <t>Mounting Holes</t>
  </si>
  <si>
    <t>X spacing</t>
  </si>
  <si>
    <t>Y spacing</t>
  </si>
  <si>
    <t>Mk2A 300x300</t>
  </si>
  <si>
    <t>Custom</t>
  </si>
  <si>
    <t>&lt;- Select</t>
  </si>
  <si>
    <t>Dimensions</t>
  </si>
  <si>
    <t>Calculations - do not change</t>
  </si>
  <si>
    <t>BOM - Extrusions and linear guides</t>
  </si>
  <si>
    <t>Build platform mounting bracket data</t>
  </si>
  <si>
    <t>offset</t>
  </si>
  <si>
    <t>Dimension</t>
  </si>
  <si>
    <t>Bed_bracket_15</t>
  </si>
  <si>
    <t>Bed_bracket_30</t>
  </si>
  <si>
    <t>Bed_bracket_45</t>
  </si>
  <si>
    <t>Bracket size</t>
  </si>
  <si>
    <t>Build platform data</t>
  </si>
  <si>
    <t>Item</t>
  </si>
  <si>
    <t>Qty</t>
  </si>
  <si>
    <t>Length</t>
  </si>
  <si>
    <t>Note</t>
  </si>
  <si>
    <t>Frame X extrusion</t>
  </si>
  <si>
    <t>Frame Y extrusion</t>
  </si>
  <si>
    <t>Frame Z extrusion</t>
  </si>
  <si>
    <t>Bed frame X extrusion</t>
  </si>
  <si>
    <t>Bed frame Y extrusion</t>
  </si>
  <si>
    <t>x_carriage_travel_min</t>
  </si>
  <si>
    <t>y_carriage_travel_min</t>
  </si>
  <si>
    <t>x_min_bed_offset</t>
  </si>
  <si>
    <t>for dual z axis, the minimum distance between the z linear guide CL and the edge of the heated bed</t>
  </si>
  <si>
    <t>Min. Build Volume / Travel</t>
  </si>
  <si>
    <t>Configurator</t>
  </si>
  <si>
    <t>Single Z</t>
  </si>
  <si>
    <t>Double Z</t>
  </si>
  <si>
    <t>X</t>
  </si>
  <si>
    <t>Y</t>
  </si>
  <si>
    <t>Z</t>
  </si>
  <si>
    <t>&lt;- Minimum supported size. Do not change</t>
  </si>
  <si>
    <t>Dia 8mm Shaft</t>
  </si>
  <si>
    <t>X axis linear guide</t>
  </si>
  <si>
    <t>Dia 10mm Shaft</t>
  </si>
  <si>
    <t>Y axis linear guide</t>
  </si>
  <si>
    <t>Dia 12mm Shaft</t>
  </si>
  <si>
    <t>Z axis linear guide</t>
  </si>
  <si>
    <t>z_guide_length</t>
  </si>
  <si>
    <t>Bed_bracket_20</t>
  </si>
  <si>
    <t>Bed_bracket_25</t>
  </si>
  <si>
    <t>min_bed_frame_width</t>
  </si>
  <si>
    <t>min_bed_frame_depth</t>
  </si>
  <si>
    <t>bed_mounting_width</t>
  </si>
  <si>
    <t>bed_mounting_depth</t>
  </si>
  <si>
    <t>bracket_size</t>
  </si>
  <si>
    <t>Printed Part Name</t>
  </si>
  <si>
    <t>X Axis Versions</t>
  </si>
  <si>
    <t>8mm Linear Rails</t>
  </si>
  <si>
    <t>10mm Linear Rails</t>
  </si>
  <si>
    <t>Y Axis Versions</t>
  </si>
  <si>
    <t>Z Axis Versions</t>
  </si>
  <si>
    <t>Single Z Axis</t>
  </si>
  <si>
    <t>Dual Z Axis</t>
  </si>
  <si>
    <t>All versions</t>
  </si>
  <si>
    <t>Belt_Clamp</t>
  </si>
  <si>
    <t>Belt_Tensioner</t>
  </si>
  <si>
    <t>Duct</t>
  </si>
  <si>
    <t>Extruder_Mount</t>
  </si>
  <si>
    <t>Retainer</t>
  </si>
  <si>
    <t>T_Slot_Cover</t>
  </si>
  <si>
    <t>X-Carriage</t>
  </si>
  <si>
    <t>X_End_Stop_Flag</t>
  </si>
  <si>
    <t>As needed</t>
  </si>
  <si>
    <t>Y_Carriage_Clamp_LM8UU</t>
  </si>
  <si>
    <t>Y_Carriage_Clamp_LM10UU</t>
  </si>
  <si>
    <t>Y_Carriage_xDia8_LM8UU</t>
  </si>
  <si>
    <t>Y_Carriage_xDia8_LM10UU</t>
  </si>
  <si>
    <t>Y_Carriage_xDia10_LM8UU</t>
  </si>
  <si>
    <t>Y_Carriage_xDia10_LM10UU</t>
  </si>
  <si>
    <t>Y_End_Stop_Bracket</t>
  </si>
  <si>
    <t>Y_End_Stop_Flag</t>
  </si>
  <si>
    <t>Z_Axis_Bearing_Holder</t>
  </si>
  <si>
    <t>Z_Motor_Mount</t>
  </si>
  <si>
    <t>Z_Nut_Braket</t>
  </si>
  <si>
    <t>XY_Idler_Mount_Right</t>
  </si>
  <si>
    <t>XY_Idler_Mount_Left</t>
  </si>
  <si>
    <t>XY_Stepper_Mount Right</t>
  </si>
  <si>
    <t>XY_Stepper_Mount Left</t>
  </si>
  <si>
    <t>Z_Axis_Linear_Rail_Bracket_-_Right</t>
  </si>
  <si>
    <t>Z_Axis_Linear_Rail_Bracket_-_Left</t>
  </si>
  <si>
    <t>Z_Axis_Linear_Rail_Bracket_-_Double_Z_-_Right</t>
  </si>
  <si>
    <t>Z_Axis_Linear_Rail_Bracket_-_Double_Z_-_Left</t>
  </si>
  <si>
    <t>Notes</t>
  </si>
  <si>
    <t>Printed part quantities</t>
  </si>
  <si>
    <t>XY_Idler_Mount_Left_yDia8</t>
  </si>
  <si>
    <t>XY_Idler_Mount_Right_yDia8</t>
  </si>
  <si>
    <t>XY_Stepper_Mount Left_yDia8</t>
  </si>
  <si>
    <t>XY_Stepper_Mount Right_yDia8</t>
  </si>
  <si>
    <t>v1.3</t>
  </si>
  <si>
    <t>Part file is not available yet - Release TBA</t>
  </si>
  <si>
    <t>Double</t>
  </si>
  <si>
    <t>Done?</t>
  </si>
  <si>
    <r>
      <t>Evolution</t>
    </r>
    <r>
      <rPr>
        <sz val="12"/>
        <color theme="1"/>
        <rFont val="Calibri"/>
        <family val="3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</si>
</sst>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b/>
      <sz val="20"/>
      <name val="Courier New"/>
      <family val="3"/>
    </font>
    <font>
      <u/>
      <sz val="11"/>
      <color theme="10"/>
      <name val="Calibri"/>
      <family val="2"/>
      <scheme val="minor"/>
    </font>
    <font>
      <sz val="1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u/>
      <sz val="11"/>
      <color theme="10"/>
      <name val="Courier New"/>
      <family val="3"/>
    </font>
    <font>
      <i/>
      <sz val="11"/>
      <color theme="1"/>
      <name val="Courier New"/>
      <family val="3"/>
    </font>
    <font>
      <b/>
      <sz val="11"/>
      <name val="Courier New"/>
      <family val="3"/>
    </font>
    <font>
      <b/>
      <sz val="12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i/>
      <sz val="10"/>
      <name val="Courier New"/>
      <family val="3"/>
    </font>
    <font>
      <b/>
      <sz val="14"/>
      <name val="Courier New"/>
      <family val="3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2"/>
      <name val="Courier New"/>
      <family val="3"/>
    </font>
    <font>
      <sz val="10"/>
      <name val="Courier New"/>
      <family val="3"/>
    </font>
    <font>
      <sz val="11"/>
      <color theme="1"/>
      <name val="Calibri"/>
      <family val="2"/>
      <scheme val="minor"/>
    </font>
    <font>
      <b/>
      <sz val="20"/>
      <name val="Courier New"/>
      <family val="3"/>
    </font>
    <font>
      <sz val="12"/>
      <color theme="1"/>
      <name val="Calibri"/>
      <family val="3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6" fillId="0" borderId="0"/>
    <xf numFmtId="0" fontId="17" fillId="4" borderId="0" applyBorder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" xfId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7" xfId="0" applyFont="1" applyFill="1" applyBorder="1" applyAlignment="1">
      <alignment horizontal="left"/>
    </xf>
    <xf numFmtId="0" fontId="4" fillId="0" borderId="0" xfId="0" applyFont="1" applyFill="1" applyBorder="1"/>
    <xf numFmtId="0" fontId="12" fillId="0" borderId="0" xfId="0" applyFont="1"/>
    <xf numFmtId="0" fontId="13" fillId="0" borderId="7" xfId="0" applyFont="1" applyFill="1" applyBorder="1" applyAlignment="1">
      <alignment horizontal="left" indent="1"/>
    </xf>
    <xf numFmtId="0" fontId="13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4" fillId="0" borderId="0" xfId="0" applyFo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13" fillId="0" borderId="4" xfId="0" applyFont="1" applyFill="1" applyBorder="1" applyAlignment="1">
      <alignment horizontal="left" indent="1"/>
    </xf>
    <xf numFmtId="0" fontId="13" fillId="0" borderId="5" xfId="0" applyFont="1" applyFill="1" applyBorder="1" applyAlignment="1">
      <alignment horizontal="left" indent="1"/>
    </xf>
    <xf numFmtId="0" fontId="13" fillId="0" borderId="6" xfId="0" applyFont="1" applyFill="1" applyBorder="1" applyAlignment="1">
      <alignment horizontal="left" indent="1"/>
    </xf>
    <xf numFmtId="0" fontId="12" fillId="0" borderId="7" xfId="0" applyFont="1" applyFill="1" applyBorder="1"/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 indent="1"/>
    </xf>
    <xf numFmtId="0" fontId="12" fillId="0" borderId="0" xfId="0" applyFont="1" applyFill="1" applyAlignment="1">
      <alignment horizontal="left" indent="1"/>
    </xf>
    <xf numFmtId="0" fontId="12" fillId="0" borderId="3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5" fillId="0" borderId="0" xfId="0" applyFont="1" applyFill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6" fillId="0" borderId="1" xfId="0" applyFont="1" applyFill="1" applyBorder="1" applyAlignment="1">
      <alignment horizontal="left" inden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right"/>
    </xf>
    <xf numFmtId="0" fontId="5" fillId="0" borderId="3" xfId="0" applyFont="1" applyBorder="1" applyAlignment="1">
      <alignment horizontal="left" indent="1"/>
    </xf>
    <xf numFmtId="0" fontId="0" fillId="0" borderId="7" xfId="0" applyBorder="1"/>
    <xf numFmtId="0" fontId="10" fillId="0" borderId="7" xfId="0" applyFont="1" applyFill="1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8" fillId="3" borderId="0" xfId="0" applyFont="1" applyFill="1" applyBorder="1" applyAlignment="1">
      <alignment horizontal="left" indent="1"/>
    </xf>
    <xf numFmtId="0" fontId="19" fillId="3" borderId="0" xfId="0" applyFont="1" applyFill="1" applyBorder="1" applyAlignment="1">
      <alignment horizontal="left" indent="1"/>
    </xf>
    <xf numFmtId="0" fontId="20" fillId="0" borderId="0" xfId="0" applyFont="1"/>
    <xf numFmtId="0" fontId="21" fillId="3" borderId="0" xfId="0" applyFont="1" applyFill="1" applyBorder="1" applyAlignment="1">
      <alignment horizontal="left" vertical="center" indent="1"/>
    </xf>
    <xf numFmtId="0" fontId="23" fillId="3" borderId="5" xfId="0" applyFont="1" applyFill="1" applyBorder="1" applyAlignment="1">
      <alignment horizontal="left" indent="1"/>
    </xf>
    <xf numFmtId="0" fontId="23" fillId="3" borderId="6" xfId="0" applyFont="1" applyFill="1" applyBorder="1" applyAlignment="1">
      <alignment horizontal="center"/>
    </xf>
    <xf numFmtId="0" fontId="23" fillId="3" borderId="4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left" inden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0" fillId="0" borderId="11" xfId="0" applyFont="1" applyBorder="1"/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left" indent="1"/>
    </xf>
    <xf numFmtId="0" fontId="24" fillId="0" borderId="11" xfId="0" applyFont="1" applyBorder="1" applyAlignment="1">
      <alignment horizontal="center"/>
    </xf>
    <xf numFmtId="0" fontId="24" fillId="0" borderId="11" xfId="0" applyFont="1" applyBorder="1" applyAlignment="1">
      <alignment horizontal="left" indent="1"/>
    </xf>
    <xf numFmtId="0" fontId="25" fillId="0" borderId="11" xfId="2" applyFont="1" applyBorder="1"/>
    <xf numFmtId="0" fontId="20" fillId="2" borderId="11" xfId="0" applyFont="1" applyFill="1" applyBorder="1" applyAlignment="1">
      <alignment horizontal="center"/>
    </xf>
    <xf numFmtId="0" fontId="20" fillId="5" borderId="11" xfId="0" applyFont="1" applyFill="1" applyBorder="1"/>
  </cellXfs>
  <cellStyles count="4">
    <cellStyle name="Explanatory Text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9</xdr:col>
      <xdr:colOff>762000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714375"/>
          <a:ext cx="7820025" cy="174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This configurator calculates the overall size and aluminium extrusion lengths required for the building of the HyperCube Evolution 3D Printer.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 b="1" u="none">
              <a:latin typeface="Courier New" panose="02070309020205020404" pitchFamily="49" charset="0"/>
              <a:cs typeface="Courier New" panose="02070309020205020404" pitchFamily="49" charset="0"/>
            </a:rPr>
            <a:t>HOW TO</a:t>
          </a:r>
        </a:p>
        <a:p>
          <a:endParaRPr lang="en-US" sz="1000" b="1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1. Enter the build volume that you want the printer to have. Note that these settings are the desired minimum travel of the extruder nozzle / build platform. 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2. Select one of the pre-configured build platforms or "Custom". Update the custom size as required. These settings determine the build platform frame size.</a:t>
          </a:r>
        </a:p>
      </xdr:txBody>
    </xdr:sp>
    <xdr:clientData/>
  </xdr:twoCellAnchor>
  <xdr:twoCellAnchor editAs="oneCell">
    <xdr:from>
      <xdr:col>14</xdr:col>
      <xdr:colOff>765080</xdr:colOff>
      <xdr:row>11</xdr:row>
      <xdr:rowOff>144678</xdr:rowOff>
    </xdr:from>
    <xdr:to>
      <xdr:col>23</xdr:col>
      <xdr:colOff>581026</xdr:colOff>
      <xdr:row>26</xdr:row>
      <xdr:rowOff>180419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7AD3E3-339E-4B4B-859B-A494236A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8805" y="2287803"/>
          <a:ext cx="6102446" cy="289324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9524</xdr:colOff>
      <xdr:row>23</xdr:row>
      <xdr:rowOff>142686</xdr:rowOff>
    </xdr:from>
    <xdr:to>
      <xdr:col>15</xdr:col>
      <xdr:colOff>151811</xdr:colOff>
      <xdr:row>32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95228-A80F-4D50-991B-A32627F5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49" y="4571811"/>
          <a:ext cx="3190287" cy="1571814"/>
        </a:xfrm>
        <a:prstGeom prst="rect">
          <a:avLst/>
        </a:prstGeom>
      </xdr:spPr>
    </xdr:pic>
    <xdr:clientData/>
  </xdr:twoCellAnchor>
  <xdr:twoCellAnchor editAs="oneCell">
    <xdr:from>
      <xdr:col>15</xdr:col>
      <xdr:colOff>228600</xdr:colOff>
      <xdr:row>27</xdr:row>
      <xdr:rowOff>63963</xdr:rowOff>
    </xdr:from>
    <xdr:to>
      <xdr:col>22</xdr:col>
      <xdr:colOff>476249</xdr:colOff>
      <xdr:row>34</xdr:row>
      <xdr:rowOff>39268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4CE29-0E02-4A27-A041-22C53F25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8625" y="5255088"/>
          <a:ext cx="5048249" cy="130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For-RepRap-3D-Prusa-Mendel-Printer-MK2A-300-300-3-0mm-Heater-Bed-RAMPS-1-4/32668984871.html?spm=2114.13010608.0.0.eQ0JK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0"/>
  <sheetViews>
    <sheetView showGridLines="0" workbookViewId="0">
      <selection activeCell="D18" sqref="D18"/>
    </sheetView>
  </sheetViews>
  <sheetFormatPr defaultRowHeight="15" x14ac:dyDescent="0.25"/>
  <cols>
    <col min="1" max="1" width="2.7109375" customWidth="1"/>
    <col min="2" max="2" width="21.85546875" style="29" customWidth="1"/>
    <col min="3" max="3" width="12.42578125" style="29" customWidth="1"/>
    <col min="4" max="4" width="9.140625" style="29"/>
    <col min="5" max="5" width="4" style="29" customWidth="1"/>
    <col min="6" max="6" width="24.28515625" style="28" customWidth="1"/>
    <col min="7" max="7" width="9.140625" style="29"/>
    <col min="8" max="8" width="3.140625" style="24" customWidth="1"/>
    <col min="9" max="10" width="12.7109375" style="24" customWidth="1"/>
  </cols>
  <sheetData>
    <row r="1" spans="2:25" x14ac:dyDescent="0.25">
      <c r="B1" s="23"/>
    </row>
    <row r="2" spans="2:25" ht="16.5" x14ac:dyDescent="0.3">
      <c r="B2" s="31" t="s">
        <v>70</v>
      </c>
    </row>
    <row r="4" spans="2:25" x14ac:dyDescent="0.25">
      <c r="B4" s="33" t="s">
        <v>0</v>
      </c>
      <c r="C4" s="34" t="s">
        <v>1</v>
      </c>
      <c r="D4" s="35" t="s">
        <v>2</v>
      </c>
      <c r="F4" s="25" t="s">
        <v>57</v>
      </c>
      <c r="G4" s="36"/>
    </row>
    <row r="5" spans="2:25" x14ac:dyDescent="0.25">
      <c r="B5" s="37" t="s">
        <v>7</v>
      </c>
      <c r="C5" s="38">
        <v>30</v>
      </c>
      <c r="D5" s="39" t="s">
        <v>5</v>
      </c>
    </row>
    <row r="6" spans="2:25" x14ac:dyDescent="0.25">
      <c r="B6" s="37" t="s">
        <v>4</v>
      </c>
      <c r="C6" s="38">
        <f>ROUNDUP(G36/10,0)*10</f>
        <v>480</v>
      </c>
      <c r="D6" s="39" t="s">
        <v>5</v>
      </c>
      <c r="F6" s="26" t="s">
        <v>24</v>
      </c>
    </row>
    <row r="7" spans="2:25" x14ac:dyDescent="0.25">
      <c r="B7" s="37" t="s">
        <v>6</v>
      </c>
      <c r="C7" s="38">
        <f>ROUNDUP(G37/10,0)*10</f>
        <v>470</v>
      </c>
      <c r="D7" s="39" t="s">
        <v>5</v>
      </c>
      <c r="F7" s="28" t="s">
        <v>89</v>
      </c>
      <c r="G7" s="29">
        <f>Configuration!C15</f>
        <v>300</v>
      </c>
    </row>
    <row r="8" spans="2:25" x14ac:dyDescent="0.25">
      <c r="B8" s="37" t="s">
        <v>3</v>
      </c>
      <c r="C8" s="38">
        <f>ROUNDUP(G38/10,0)*10</f>
        <v>500</v>
      </c>
      <c r="D8" s="39" t="s">
        <v>5</v>
      </c>
      <c r="F8" s="28" t="s">
        <v>30</v>
      </c>
      <c r="G8" s="29">
        <v>14.5</v>
      </c>
      <c r="H8" s="27" t="s">
        <v>31</v>
      </c>
    </row>
    <row r="9" spans="2:25" x14ac:dyDescent="0.25">
      <c r="B9" s="37" t="s">
        <v>10</v>
      </c>
      <c r="C9" s="38">
        <f>C24</f>
        <v>328</v>
      </c>
      <c r="D9" s="39" t="s">
        <v>5</v>
      </c>
      <c r="F9" s="28" t="s">
        <v>19</v>
      </c>
      <c r="G9" s="29">
        <v>55</v>
      </c>
    </row>
    <row r="10" spans="2:25" x14ac:dyDescent="0.25">
      <c r="B10" s="37" t="s">
        <v>11</v>
      </c>
      <c r="C10" s="38">
        <f>C25</f>
        <v>328</v>
      </c>
      <c r="D10" s="39" t="s">
        <v>5</v>
      </c>
      <c r="F10" s="28" t="s">
        <v>32</v>
      </c>
      <c r="G10" s="29">
        <v>45.75</v>
      </c>
      <c r="H10" s="27" t="s">
        <v>33</v>
      </c>
    </row>
    <row r="11" spans="2:25" x14ac:dyDescent="0.25">
      <c r="B11" s="37" t="s">
        <v>13</v>
      </c>
      <c r="C11" s="38">
        <f>C26</f>
        <v>325</v>
      </c>
      <c r="D11" s="39" t="s">
        <v>5</v>
      </c>
      <c r="F11" s="28" t="s">
        <v>34</v>
      </c>
      <c r="G11" s="29">
        <v>45</v>
      </c>
      <c r="H11" s="27"/>
    </row>
    <row r="12" spans="2:25" x14ac:dyDescent="0.25">
      <c r="B12" s="37" t="s">
        <v>14</v>
      </c>
      <c r="C12" s="38">
        <f>C27</f>
        <v>325</v>
      </c>
      <c r="D12" s="39" t="s">
        <v>5</v>
      </c>
      <c r="F12" s="43" t="s">
        <v>37</v>
      </c>
      <c r="G12" s="32">
        <f>C6-C5</f>
        <v>450</v>
      </c>
      <c r="H12" s="27"/>
    </row>
    <row r="13" spans="2:25" x14ac:dyDescent="0.25">
      <c r="B13" s="40" t="s">
        <v>42</v>
      </c>
      <c r="C13" s="38">
        <v>20</v>
      </c>
      <c r="D13" s="39" t="s">
        <v>5</v>
      </c>
      <c r="F13" s="28" t="s">
        <v>91</v>
      </c>
      <c r="G13" s="29">
        <v>30</v>
      </c>
      <c r="I13" s="24" t="s">
        <v>92</v>
      </c>
    </row>
    <row r="14" spans="2:25" x14ac:dyDescent="0.25">
      <c r="B14" s="37" t="s">
        <v>41</v>
      </c>
      <c r="C14" s="38">
        <f>MAX(180,IF(Configuration!$I$15="Double",Sheet1!$C$6-2*Sheet1!$C$5-5,$C$26-2*$C$28))</f>
        <v>415</v>
      </c>
      <c r="D14" s="39" t="s">
        <v>5</v>
      </c>
      <c r="Y14">
        <f>195+20+20+45+45</f>
        <v>325</v>
      </c>
    </row>
    <row r="15" spans="2:25" x14ac:dyDescent="0.25">
      <c r="B15" s="37" t="s">
        <v>43</v>
      </c>
      <c r="C15" s="38">
        <f>MAX(180,IF(Configuration!I15="Double",Sheet1!$C$27-2*Sheet1!$C$28,(ROUNDUP(($G$31-2.5+$G$8+$G$10+$G$17+$G$30/2+7.5)/10,0)*10)))</f>
        <v>295</v>
      </c>
      <c r="D15" s="39" t="s">
        <v>5</v>
      </c>
    </row>
    <row r="16" spans="2:25" x14ac:dyDescent="0.25">
      <c r="B16" s="37" t="s">
        <v>44</v>
      </c>
      <c r="C16" s="38">
        <f>G30/2+G8+G10+G17/2</f>
        <v>216.25</v>
      </c>
      <c r="D16" s="39" t="s">
        <v>5</v>
      </c>
      <c r="F16" s="26" t="s">
        <v>25</v>
      </c>
    </row>
    <row r="17" spans="2:9" x14ac:dyDescent="0.25">
      <c r="B17" s="37" t="s">
        <v>45</v>
      </c>
      <c r="C17" s="38">
        <v>250</v>
      </c>
      <c r="D17" s="39" t="s">
        <v>5</v>
      </c>
      <c r="F17" s="28" t="s">
        <v>90</v>
      </c>
      <c r="G17" s="29">
        <f>Configuration!C16</f>
        <v>300</v>
      </c>
    </row>
    <row r="18" spans="2:9" x14ac:dyDescent="0.25">
      <c r="B18" s="37" t="s">
        <v>114</v>
      </c>
      <c r="C18" s="38">
        <f>C28</f>
        <v>15</v>
      </c>
      <c r="D18" s="39" t="s">
        <v>5</v>
      </c>
      <c r="F18" s="28" t="s">
        <v>20</v>
      </c>
      <c r="G18" s="29">
        <v>31.5</v>
      </c>
      <c r="H18" s="27" t="s">
        <v>22</v>
      </c>
    </row>
    <row r="19" spans="2:9" x14ac:dyDescent="0.25">
      <c r="B19" s="37"/>
      <c r="C19" s="38"/>
      <c r="D19" s="41"/>
      <c r="F19" s="28" t="s">
        <v>21</v>
      </c>
      <c r="G19" s="29">
        <v>12</v>
      </c>
      <c r="H19" s="27" t="s">
        <v>23</v>
      </c>
    </row>
    <row r="20" spans="2:9" x14ac:dyDescent="0.25">
      <c r="B20" s="37"/>
      <c r="C20" s="38"/>
      <c r="D20" s="41"/>
      <c r="F20" s="28" t="s">
        <v>15</v>
      </c>
      <c r="G20" s="29">
        <v>58</v>
      </c>
      <c r="H20" s="27" t="s">
        <v>18</v>
      </c>
    </row>
    <row r="21" spans="2:9" x14ac:dyDescent="0.25">
      <c r="B21" s="37"/>
      <c r="C21" s="38"/>
      <c r="D21" s="41"/>
      <c r="F21" s="28" t="s">
        <v>16</v>
      </c>
      <c r="G21" s="29">
        <v>45</v>
      </c>
      <c r="H21" s="27" t="s">
        <v>17</v>
      </c>
    </row>
    <row r="22" spans="2:9" x14ac:dyDescent="0.25">
      <c r="F22" s="28" t="s">
        <v>38</v>
      </c>
      <c r="G22" s="29">
        <f>G7+G9+G21*2</f>
        <v>445</v>
      </c>
      <c r="H22" s="27" t="s">
        <v>35</v>
      </c>
    </row>
    <row r="23" spans="2:9" ht="15.75" x14ac:dyDescent="0.3">
      <c r="B23" s="22" t="s">
        <v>9</v>
      </c>
      <c r="C23" s="34" t="s">
        <v>1</v>
      </c>
      <c r="D23" s="35" t="s">
        <v>2</v>
      </c>
      <c r="F23" s="43" t="s">
        <v>40</v>
      </c>
      <c r="G23" s="32">
        <f>C7-2*C5</f>
        <v>410</v>
      </c>
      <c r="H23" s="27"/>
    </row>
    <row r="24" spans="2:9" x14ac:dyDescent="0.25">
      <c r="B24" s="37" t="s">
        <v>60</v>
      </c>
      <c r="C24" s="38">
        <f>VLOOKUP(Configuration!$F$15,Configuration!$M$6:'Configuration'!$Q$11,2,FALSE)</f>
        <v>328</v>
      </c>
      <c r="D24" s="41" t="s">
        <v>5</v>
      </c>
      <c r="H24" s="27"/>
    </row>
    <row r="25" spans="2:9" x14ac:dyDescent="0.25">
      <c r="B25" s="37" t="s">
        <v>61</v>
      </c>
      <c r="C25" s="38">
        <f>VLOOKUP(Configuration!$F$15,Configuration!$M$6:'Configuration'!$Q$11,3,FALSE)</f>
        <v>328</v>
      </c>
      <c r="D25" s="41" t="s">
        <v>5</v>
      </c>
      <c r="F25" s="26" t="s">
        <v>26</v>
      </c>
    </row>
    <row r="26" spans="2:9" x14ac:dyDescent="0.25">
      <c r="B26" s="37" t="s">
        <v>64</v>
      </c>
      <c r="C26" s="38">
        <f>VLOOKUP(Configuration!$F$15,Configuration!$M$6:'Configuration'!$Q$11,4,FALSE)</f>
        <v>325</v>
      </c>
      <c r="D26" s="41" t="s">
        <v>5</v>
      </c>
      <c r="F26" s="28" t="s">
        <v>54</v>
      </c>
      <c r="G26" s="29">
        <f>Configuration!C17</f>
        <v>300</v>
      </c>
      <c r="I26" s="30" t="s">
        <v>59</v>
      </c>
    </row>
    <row r="27" spans="2:9" x14ac:dyDescent="0.25">
      <c r="B27" s="37" t="s">
        <v>65</v>
      </c>
      <c r="C27" s="38">
        <f>VLOOKUP(Configuration!$F$15,Configuration!$M$6:'Configuration'!$Q$11,5,FALSE)</f>
        <v>325</v>
      </c>
      <c r="D27" s="41" t="s">
        <v>5</v>
      </c>
      <c r="F27" s="28" t="s">
        <v>47</v>
      </c>
      <c r="G27" s="29">
        <v>113.7</v>
      </c>
      <c r="I27" s="24" t="s">
        <v>48</v>
      </c>
    </row>
    <row r="28" spans="2:9" x14ac:dyDescent="0.25">
      <c r="B28" s="37" t="s">
        <v>78</v>
      </c>
      <c r="C28" s="38">
        <f>VLOOKUP(Configuration!F16,Configuration!M19:N23,2,FALSE)</f>
        <v>15</v>
      </c>
      <c r="D28" s="41" t="s">
        <v>5</v>
      </c>
      <c r="F28" s="28" t="s">
        <v>49</v>
      </c>
      <c r="G28" s="29">
        <v>68</v>
      </c>
      <c r="I28" s="24" t="s">
        <v>50</v>
      </c>
    </row>
    <row r="29" spans="2:9" x14ac:dyDescent="0.25">
      <c r="F29" s="28" t="s">
        <v>51</v>
      </c>
      <c r="G29" s="29">
        <v>17</v>
      </c>
      <c r="I29" s="24" t="s">
        <v>52</v>
      </c>
    </row>
    <row r="30" spans="2:9" x14ac:dyDescent="0.25">
      <c r="F30" s="28" t="s">
        <v>27</v>
      </c>
      <c r="G30" s="29">
        <v>12</v>
      </c>
      <c r="I30" s="24" t="s">
        <v>53</v>
      </c>
    </row>
    <row r="31" spans="2:9" x14ac:dyDescent="0.25">
      <c r="F31" s="28" t="s">
        <v>28</v>
      </c>
      <c r="G31" s="29">
        <v>22</v>
      </c>
      <c r="H31" s="27" t="s">
        <v>29</v>
      </c>
    </row>
    <row r="32" spans="2:9" x14ac:dyDescent="0.25">
      <c r="F32" s="28" t="s">
        <v>107</v>
      </c>
      <c r="G32" s="29">
        <f>IF(Configuration!I15="Double",Sheet1!C8-100,Sheet1!C8)</f>
        <v>400</v>
      </c>
    </row>
    <row r="35" spans="6:10" x14ac:dyDescent="0.25">
      <c r="I35" s="64" t="s">
        <v>95</v>
      </c>
      <c r="J35" s="64" t="s">
        <v>96</v>
      </c>
    </row>
    <row r="36" spans="6:10" x14ac:dyDescent="0.25">
      <c r="F36" s="28" t="s">
        <v>36</v>
      </c>
      <c r="G36" s="29">
        <f>IF(Configuration!I15="Double",MAX(I36:J36),Sheet1!I36)</f>
        <v>475</v>
      </c>
      <c r="I36" s="64">
        <f>G22+C5</f>
        <v>475</v>
      </c>
      <c r="J36" s="42">
        <f>$C$5+2*$G$31+2*$G$13+$C$24</f>
        <v>462</v>
      </c>
    </row>
    <row r="37" spans="6:10" x14ac:dyDescent="0.25">
      <c r="F37" s="28" t="s">
        <v>39</v>
      </c>
      <c r="G37" s="29">
        <f>MAX(I37:J37)</f>
        <v>463</v>
      </c>
      <c r="I37" s="42">
        <f>($G$18+$G$20/2-$G$10+$G$17+$G$10+$G$8+$G$30/2+$G$31+$C$5*2)</f>
        <v>463</v>
      </c>
      <c r="J37" s="42">
        <f>($C$25+2*$C$5)</f>
        <v>388</v>
      </c>
    </row>
    <row r="38" spans="6:10" x14ac:dyDescent="0.25">
      <c r="F38" s="28" t="s">
        <v>55</v>
      </c>
      <c r="G38" s="29">
        <f>G27+G28+G29+G26</f>
        <v>498.7</v>
      </c>
    </row>
    <row r="40" spans="6:10" x14ac:dyDescent="0.25">
      <c r="F40" s="28" t="s">
        <v>110</v>
      </c>
      <c r="I40" s="42">
        <f>$C$26-2*$C$28</f>
        <v>295</v>
      </c>
      <c r="J40" s="42">
        <f>Sheet1!$C$6-2*Sheet1!$C$5-5</f>
        <v>415</v>
      </c>
    </row>
    <row r="41" spans="6:10" x14ac:dyDescent="0.25">
      <c r="F41" s="28" t="s">
        <v>111</v>
      </c>
      <c r="I41" s="42">
        <f>(ROUNDUP(($G$31-2.5+$G$8+$G$10+$G$17+$G$30/2+7.5)/10,0)*10)</f>
        <v>400</v>
      </c>
      <c r="J41" s="42">
        <f>Sheet1!$C$27-2*Sheet1!$C$28</f>
        <v>295</v>
      </c>
    </row>
    <row r="43" spans="6:10" x14ac:dyDescent="0.25">
      <c r="F43" s="28" t="s">
        <v>112</v>
      </c>
      <c r="G43" s="29">
        <f>IF(Configuration!$I$15="Double",Sheet1!C26-Sheet1!J43,Sheet1!C26-Sheet1!I43)</f>
        <v>0</v>
      </c>
      <c r="I43" s="42">
        <f>MAX(180,I40)+2*C28</f>
        <v>325</v>
      </c>
      <c r="J43" s="42">
        <f>C26</f>
        <v>325</v>
      </c>
    </row>
    <row r="44" spans="6:10" x14ac:dyDescent="0.25">
      <c r="F44" s="28" t="s">
        <v>113</v>
      </c>
      <c r="G44" s="29">
        <f>IF(Configuration!$I$15="Double",Sheet1!C27-Sheet1!J44,Sheet1!C27-Sheet1!I44)</f>
        <v>0</v>
      </c>
      <c r="I44" s="42">
        <f>C27</f>
        <v>325</v>
      </c>
      <c r="J44" s="42">
        <f>MAX(180,J41)+2*C28</f>
        <v>325</v>
      </c>
    </row>
    <row r="45" spans="6:10" x14ac:dyDescent="0.25">
      <c r="G45" s="29">
        <f>G43+G44</f>
        <v>0</v>
      </c>
    </row>
    <row r="50" spans="3:3" x14ac:dyDescent="0.25">
      <c r="C50" s="42"/>
    </row>
  </sheetData>
  <dataValidations disablePrompts="1" count="1">
    <dataValidation operator="greaterThan" allowBlank="1" showInputMessage="1" showErrorMessage="1" sqref="C14 I40:J4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4"/>
  <sheetViews>
    <sheetView showGridLines="0" topLeftCell="A5" zoomScale="85" zoomScaleNormal="85" workbookViewId="0">
      <selection activeCell="N11" sqref="N11"/>
    </sheetView>
  </sheetViews>
  <sheetFormatPr defaultRowHeight="15" x14ac:dyDescent="0.25"/>
  <cols>
    <col min="1" max="1" width="4" customWidth="1"/>
    <col min="2" max="2" width="20.7109375" customWidth="1"/>
    <col min="3" max="3" width="8.7109375" style="1" customWidth="1"/>
    <col min="4" max="4" width="6.28515625" style="1" customWidth="1"/>
    <col min="5" max="5" width="8.7109375" customWidth="1"/>
    <col min="6" max="6" width="20.7109375" customWidth="1"/>
    <col min="7" max="7" width="12.85546875" customWidth="1"/>
    <col min="8" max="8" width="8.7109375" customWidth="1"/>
    <col min="9" max="10" width="12.85546875" customWidth="1"/>
    <col min="12" max="12" width="3.140625" customWidth="1"/>
    <col min="13" max="13" width="19.42578125" style="24" customWidth="1"/>
    <col min="14" max="14" width="13.140625" style="24" customWidth="1"/>
    <col min="15" max="17" width="13.140625" customWidth="1"/>
  </cols>
  <sheetData>
    <row r="1" spans="2:22" ht="15.75" customHeight="1" x14ac:dyDescent="0.25">
      <c r="B1" s="3"/>
      <c r="C1" s="4"/>
      <c r="D1" s="4"/>
      <c r="E1" s="3"/>
      <c r="F1" s="3"/>
      <c r="G1" s="3"/>
      <c r="H1" s="3"/>
      <c r="I1" s="3"/>
      <c r="J1" s="3"/>
    </row>
    <row r="2" spans="2:22" ht="14.25" customHeight="1" x14ac:dyDescent="0.25">
      <c r="B2" s="58" t="s">
        <v>8</v>
      </c>
      <c r="C2" s="55"/>
      <c r="D2" s="55"/>
      <c r="E2" s="56"/>
      <c r="F2" s="56"/>
      <c r="G2" s="56"/>
      <c r="H2" s="56"/>
      <c r="I2" s="56"/>
      <c r="J2" s="56"/>
      <c r="L2" s="46"/>
    </row>
    <row r="3" spans="2:22" ht="18.75" customHeight="1" x14ac:dyDescent="0.25">
      <c r="B3" s="59" t="s">
        <v>46</v>
      </c>
      <c r="C3" s="55"/>
      <c r="D3" s="57"/>
      <c r="E3" s="56"/>
      <c r="F3" s="56"/>
      <c r="G3" s="56"/>
      <c r="H3" s="56"/>
      <c r="I3" s="60" t="s">
        <v>94</v>
      </c>
      <c r="J3" s="56" t="s">
        <v>158</v>
      </c>
      <c r="L3" s="46"/>
      <c r="M3" s="24" t="s">
        <v>79</v>
      </c>
    </row>
    <row r="4" spans="2:22" ht="15" customHeight="1" x14ac:dyDescent="0.25">
      <c r="L4" s="46"/>
      <c r="M4" s="5"/>
      <c r="N4" s="67" t="s">
        <v>69</v>
      </c>
      <c r="O4" s="68"/>
      <c r="P4" s="67" t="s">
        <v>63</v>
      </c>
      <c r="Q4" s="69"/>
    </row>
    <row r="5" spans="2:22" ht="15" customHeight="1" x14ac:dyDescent="0.3">
      <c r="L5" s="46"/>
      <c r="M5" s="7" t="s">
        <v>62</v>
      </c>
      <c r="N5" s="8" t="s">
        <v>60</v>
      </c>
      <c r="O5" s="8" t="s">
        <v>61</v>
      </c>
      <c r="P5" s="8" t="s">
        <v>64</v>
      </c>
      <c r="Q5" s="9" t="s">
        <v>65</v>
      </c>
    </row>
    <row r="6" spans="2:22" ht="15" customHeight="1" x14ac:dyDescent="0.25">
      <c r="L6" s="46"/>
      <c r="M6" s="12" t="s">
        <v>12</v>
      </c>
      <c r="N6" s="13">
        <v>214</v>
      </c>
      <c r="O6" s="13">
        <v>214</v>
      </c>
      <c r="P6" s="13">
        <v>210</v>
      </c>
      <c r="Q6" s="14">
        <v>210</v>
      </c>
      <c r="R6" s="11" t="s">
        <v>100</v>
      </c>
    </row>
    <row r="7" spans="2:22" ht="15" customHeight="1" x14ac:dyDescent="0.25">
      <c r="L7" s="46"/>
      <c r="M7" s="15" t="s">
        <v>66</v>
      </c>
      <c r="N7" s="16">
        <v>328</v>
      </c>
      <c r="O7" s="16">
        <v>328</v>
      </c>
      <c r="P7" s="16">
        <v>325</v>
      </c>
      <c r="Q7" s="44">
        <v>325</v>
      </c>
    </row>
    <row r="8" spans="2:22" ht="15" customHeight="1" x14ac:dyDescent="0.25">
      <c r="L8" s="46"/>
      <c r="M8" s="5"/>
      <c r="N8" s="16"/>
      <c r="O8" s="16"/>
      <c r="P8" s="16"/>
      <c r="Q8" s="17"/>
    </row>
    <row r="9" spans="2:22" ht="15" customHeight="1" x14ac:dyDescent="0.25">
      <c r="L9" s="46"/>
      <c r="M9" s="5"/>
      <c r="N9" s="16"/>
      <c r="O9" s="16"/>
      <c r="P9" s="16"/>
      <c r="Q9" s="17"/>
    </row>
    <row r="10" spans="2:22" ht="15" customHeight="1" x14ac:dyDescent="0.25">
      <c r="L10" s="46"/>
      <c r="M10" s="5"/>
      <c r="N10" s="16"/>
      <c r="O10" s="16"/>
      <c r="P10" s="16"/>
      <c r="Q10" s="17"/>
    </row>
    <row r="11" spans="2:22" ht="15" customHeight="1" x14ac:dyDescent="0.3">
      <c r="L11" s="46"/>
      <c r="M11" s="18" t="s">
        <v>67</v>
      </c>
      <c r="N11" s="19">
        <v>300</v>
      </c>
      <c r="O11" s="19">
        <v>300</v>
      </c>
      <c r="P11" s="19">
        <v>290</v>
      </c>
      <c r="Q11" s="20">
        <v>290</v>
      </c>
    </row>
    <row r="12" spans="2:22" ht="15" customHeight="1" x14ac:dyDescent="0.25">
      <c r="L12" s="46"/>
    </row>
    <row r="13" spans="2:22" ht="15" customHeight="1" x14ac:dyDescent="0.25">
      <c r="L13" s="46"/>
    </row>
    <row r="14" spans="2:22" ht="15" customHeight="1" x14ac:dyDescent="0.3">
      <c r="B14" s="63" t="s">
        <v>93</v>
      </c>
      <c r="C14" s="6"/>
      <c r="D14" s="6"/>
      <c r="E14" s="3"/>
      <c r="F14" s="22" t="s">
        <v>9</v>
      </c>
      <c r="G14" s="6"/>
      <c r="I14" s="22" t="s">
        <v>26</v>
      </c>
      <c r="J14" s="6"/>
      <c r="L14" s="46"/>
      <c r="U14" s="66"/>
      <c r="V14" s="66"/>
    </row>
    <row r="15" spans="2:22" ht="15" customHeight="1" x14ac:dyDescent="0.25">
      <c r="B15" s="10" t="s">
        <v>97</v>
      </c>
      <c r="C15" s="21">
        <v>300</v>
      </c>
      <c r="D15" s="4" t="s">
        <v>5</v>
      </c>
      <c r="E15" s="3"/>
      <c r="F15" s="11" t="s">
        <v>66</v>
      </c>
      <c r="G15" s="11" t="s">
        <v>68</v>
      </c>
      <c r="H15" s="3"/>
      <c r="I15" s="11" t="s">
        <v>160</v>
      </c>
      <c r="J15" s="11" t="s">
        <v>68</v>
      </c>
      <c r="L15" s="46"/>
      <c r="M15" s="24" t="s">
        <v>72</v>
      </c>
    </row>
    <row r="16" spans="2:22" ht="15" customHeight="1" x14ac:dyDescent="0.25">
      <c r="B16" s="10" t="s">
        <v>98</v>
      </c>
      <c r="C16" s="21">
        <v>300</v>
      </c>
      <c r="D16" s="4" t="s">
        <v>5</v>
      </c>
      <c r="E16" s="3"/>
      <c r="F16" s="11" t="s">
        <v>75</v>
      </c>
      <c r="G16" s="11" t="s">
        <v>68</v>
      </c>
      <c r="L16" s="46"/>
    </row>
    <row r="17" spans="2:14" ht="15" customHeight="1" x14ac:dyDescent="0.25">
      <c r="B17" s="10" t="s">
        <v>99</v>
      </c>
      <c r="C17" s="21">
        <v>300</v>
      </c>
      <c r="D17" s="4" t="s">
        <v>5</v>
      </c>
      <c r="E17" s="3"/>
      <c r="F17" s="65" t="str">
        <f>IF(Sheet1!G45&lt;&gt;0,"Bracket selection not Ok","Bracket selection Ok")</f>
        <v>Bracket selection Ok</v>
      </c>
      <c r="L17" s="46"/>
      <c r="M17" s="5"/>
      <c r="N17" s="44" t="s">
        <v>74</v>
      </c>
    </row>
    <row r="18" spans="2:14" ht="15" customHeight="1" x14ac:dyDescent="0.3">
      <c r="B18" s="2"/>
      <c r="E18" s="3"/>
      <c r="L18" s="46"/>
      <c r="M18" s="7" t="s">
        <v>62</v>
      </c>
      <c r="N18" s="9" t="s">
        <v>73</v>
      </c>
    </row>
    <row r="19" spans="2:14" ht="15" customHeight="1" x14ac:dyDescent="0.25">
      <c r="L19" s="46"/>
      <c r="M19" s="12" t="s">
        <v>75</v>
      </c>
      <c r="N19" s="14">
        <v>15</v>
      </c>
    </row>
    <row r="20" spans="2:14" ht="15" customHeight="1" x14ac:dyDescent="0.35">
      <c r="B20" s="49" t="s">
        <v>71</v>
      </c>
      <c r="C20" s="45"/>
      <c r="D20" s="45"/>
      <c r="E20" s="47"/>
      <c r="F20" s="47"/>
      <c r="G20" s="47"/>
      <c r="H20" s="48"/>
      <c r="L20" s="46"/>
      <c r="M20" s="5" t="s">
        <v>108</v>
      </c>
      <c r="N20" s="44">
        <v>20</v>
      </c>
    </row>
    <row r="21" spans="2:14" ht="15" customHeight="1" x14ac:dyDescent="0.25">
      <c r="B21" s="3"/>
      <c r="C21" s="4"/>
      <c r="D21" s="4"/>
      <c r="E21" s="3"/>
      <c r="F21" s="47"/>
      <c r="G21" s="47"/>
      <c r="H21" s="48"/>
      <c r="I21" s="48"/>
      <c r="L21" s="46"/>
      <c r="M21" s="5" t="s">
        <v>109</v>
      </c>
      <c r="N21" s="44">
        <v>25</v>
      </c>
    </row>
    <row r="22" spans="2:14" ht="15" customHeight="1" x14ac:dyDescent="0.25">
      <c r="B22" s="50" t="s">
        <v>80</v>
      </c>
      <c r="C22" s="51" t="s">
        <v>82</v>
      </c>
      <c r="D22" s="51" t="s">
        <v>2</v>
      </c>
      <c r="E22" s="52" t="s">
        <v>81</v>
      </c>
      <c r="F22" s="52" t="s">
        <v>83</v>
      </c>
      <c r="G22" s="62"/>
      <c r="H22" s="62"/>
      <c r="I22" s="62"/>
      <c r="L22" s="46"/>
      <c r="M22" s="5" t="s">
        <v>76</v>
      </c>
      <c r="N22" s="44">
        <v>30</v>
      </c>
    </row>
    <row r="23" spans="2:14" ht="15" customHeight="1" x14ac:dyDescent="0.25">
      <c r="B23" s="12" t="s">
        <v>56</v>
      </c>
      <c r="C23" s="13">
        <f>Sheet1!C6-2*Sheet1!C5</f>
        <v>420</v>
      </c>
      <c r="D23" s="13" t="s">
        <v>5</v>
      </c>
      <c r="E23" s="14">
        <v>4</v>
      </c>
      <c r="F23" s="61" t="s">
        <v>84</v>
      </c>
      <c r="L23" s="46"/>
      <c r="M23" s="5" t="s">
        <v>77</v>
      </c>
      <c r="N23" s="44">
        <v>45</v>
      </c>
    </row>
    <row r="24" spans="2:14" ht="15" customHeight="1" x14ac:dyDescent="0.25">
      <c r="B24" s="53"/>
      <c r="C24" s="16">
        <f>Sheet1!C7-2*Sheet1!C5</f>
        <v>410</v>
      </c>
      <c r="D24" s="16" t="s">
        <v>5</v>
      </c>
      <c r="E24" s="44">
        <f>IF(I15="Double",6,4)</f>
        <v>6</v>
      </c>
      <c r="F24" s="61" t="s">
        <v>85</v>
      </c>
      <c r="G24" s="3"/>
      <c r="L24" s="46"/>
    </row>
    <row r="25" spans="2:14" ht="15" customHeight="1" x14ac:dyDescent="0.3">
      <c r="B25" s="54"/>
      <c r="C25" s="16">
        <f>Sheet1!C8</f>
        <v>500</v>
      </c>
      <c r="D25" s="16" t="s">
        <v>5</v>
      </c>
      <c r="E25" s="44">
        <v>4</v>
      </c>
      <c r="F25" s="61" t="s">
        <v>86</v>
      </c>
      <c r="L25" s="46"/>
    </row>
    <row r="26" spans="2:14" ht="15" customHeight="1" x14ac:dyDescent="0.25">
      <c r="B26" s="5" t="s">
        <v>58</v>
      </c>
      <c r="C26" s="16">
        <f>IF(I15="Double",Sheet1!C14,Sheet1!C14-2*Sheet1!C13)</f>
        <v>415</v>
      </c>
      <c r="D26" s="16" t="s">
        <v>5</v>
      </c>
      <c r="E26" s="44">
        <f>IF(I15="Double",2,1)</f>
        <v>2</v>
      </c>
      <c r="F26" s="61" t="s">
        <v>87</v>
      </c>
      <c r="L26" s="46"/>
    </row>
    <row r="27" spans="2:14" ht="15" customHeight="1" x14ac:dyDescent="0.25">
      <c r="B27" s="53"/>
      <c r="C27" s="16">
        <f>IF(I15="Double",Sheet1!C15-2*Sheet1!C13,Sheet1!C15)</f>
        <v>255</v>
      </c>
      <c r="D27" s="16" t="s">
        <v>5</v>
      </c>
      <c r="E27" s="44">
        <v>2</v>
      </c>
      <c r="F27" s="61" t="s">
        <v>88</v>
      </c>
      <c r="H27" s="3"/>
      <c r="I27" s="3"/>
      <c r="J27" s="3"/>
      <c r="L27" s="46"/>
    </row>
    <row r="28" spans="2:14" ht="15" customHeight="1" x14ac:dyDescent="0.25">
      <c r="B28" s="5" t="s">
        <v>101</v>
      </c>
      <c r="C28" s="16">
        <f>Sheet1!G12</f>
        <v>450</v>
      </c>
      <c r="D28" s="16" t="s">
        <v>5</v>
      </c>
      <c r="E28" s="44">
        <v>2</v>
      </c>
      <c r="F28" s="61" t="s">
        <v>102</v>
      </c>
      <c r="H28" s="3"/>
      <c r="I28" s="3"/>
      <c r="J28" s="3"/>
      <c r="L28" s="46"/>
    </row>
    <row r="29" spans="2:14" ht="15" customHeight="1" x14ac:dyDescent="0.25">
      <c r="B29" s="5" t="s">
        <v>103</v>
      </c>
      <c r="C29" s="16">
        <f>Sheet1!G23</f>
        <v>410</v>
      </c>
      <c r="D29" s="16" t="s">
        <v>5</v>
      </c>
      <c r="E29" s="44">
        <v>2</v>
      </c>
      <c r="F29" s="61" t="s">
        <v>104</v>
      </c>
      <c r="H29" s="3"/>
      <c r="I29" s="3"/>
      <c r="J29" s="3"/>
      <c r="L29" s="46"/>
    </row>
    <row r="30" spans="2:14" ht="15" customHeight="1" x14ac:dyDescent="0.25">
      <c r="B30" s="5" t="s">
        <v>105</v>
      </c>
      <c r="C30" s="16">
        <f>Sheet1!G32</f>
        <v>400</v>
      </c>
      <c r="D30" s="16" t="s">
        <v>5</v>
      </c>
      <c r="E30" s="44">
        <f>IF(I15="Double",4,2)</f>
        <v>4</v>
      </c>
      <c r="F30" s="61" t="s">
        <v>106</v>
      </c>
      <c r="H30" s="3"/>
      <c r="I30" s="3"/>
      <c r="J30" s="3"/>
      <c r="L30" s="46"/>
    </row>
    <row r="31" spans="2:14" ht="15" customHeight="1" x14ac:dyDescent="0.25">
      <c r="B31" s="5"/>
      <c r="C31" s="16"/>
      <c r="D31" s="16"/>
      <c r="E31" s="44"/>
      <c r="F31" s="61"/>
      <c r="H31" s="3"/>
      <c r="L31" s="46"/>
    </row>
    <row r="32" spans="2:14" ht="15" customHeight="1" x14ac:dyDescent="0.25">
      <c r="B32" s="5"/>
      <c r="C32" s="16"/>
      <c r="D32" s="16"/>
      <c r="E32" s="44"/>
      <c r="F32" s="61"/>
      <c r="H32" s="3"/>
      <c r="L32" s="46"/>
    </row>
    <row r="33" spans="2:12" ht="15" customHeight="1" x14ac:dyDescent="0.25">
      <c r="C33" s="4"/>
      <c r="D33" s="4"/>
      <c r="E33" s="3"/>
      <c r="F33" s="3"/>
      <c r="L33" s="46"/>
    </row>
    <row r="34" spans="2:12" ht="15" customHeight="1" x14ac:dyDescent="0.25">
      <c r="L34" s="46"/>
    </row>
    <row r="35" spans="2:12" ht="15" customHeight="1" x14ac:dyDescent="0.25">
      <c r="L35" s="46"/>
    </row>
    <row r="36" spans="2:12" ht="15" customHeight="1" x14ac:dyDescent="0.25">
      <c r="L36" s="46"/>
    </row>
    <row r="37" spans="2:12" ht="15" customHeight="1" x14ac:dyDescent="0.25">
      <c r="L37" s="46"/>
    </row>
    <row r="38" spans="2:12" ht="15" customHeight="1" x14ac:dyDescent="0.25"/>
    <row r="40" spans="2:12" x14ac:dyDescent="0.25">
      <c r="B40" s="3"/>
      <c r="F40" s="3"/>
    </row>
    <row r="41" spans="2:12" x14ac:dyDescent="0.25">
      <c r="B41" s="3"/>
      <c r="C41" s="4"/>
      <c r="D41" s="4"/>
      <c r="E41" s="3"/>
      <c r="F41" s="3"/>
    </row>
    <row r="42" spans="2:12" x14ac:dyDescent="0.25">
      <c r="C42" s="4"/>
      <c r="D42" s="4"/>
      <c r="E42" s="3"/>
      <c r="F42" s="3"/>
    </row>
    <row r="43" spans="2:12" x14ac:dyDescent="0.25">
      <c r="B43" s="3"/>
      <c r="F43" s="3"/>
    </row>
    <row r="44" spans="2:12" x14ac:dyDescent="0.25">
      <c r="B44" s="3"/>
      <c r="F44" s="3"/>
    </row>
  </sheetData>
  <mergeCells count="2">
    <mergeCell ref="N4:O4"/>
    <mergeCell ref="P4:Q4"/>
  </mergeCells>
  <dataValidations count="7">
    <dataValidation type="list" allowBlank="1" showInputMessage="1" showErrorMessage="1" sqref="F15">
      <formula1>$M$6:$M$11</formula1>
    </dataValidation>
    <dataValidation type="list" allowBlank="1" showInputMessage="1" showErrorMessage="1" sqref="F16">
      <formula1>$M$19:$M$23</formula1>
    </dataValidation>
    <dataValidation type="list" allowBlank="1" showInputMessage="1" showErrorMessage="1" sqref="I15">
      <formula1>"Single, Double"</formula1>
    </dataValidation>
    <dataValidation type="whole" operator="greaterThanOrEqual" allowBlank="1" showInputMessage="1" showErrorMessage="1" sqref="N11:O11">
      <formula1>214</formula1>
    </dataValidation>
    <dataValidation type="whole" operator="greaterThanOrEqual" allowBlank="1" showInputMessage="1" showErrorMessage="1" sqref="P11:Q11">
      <formula1>210</formula1>
    </dataValidation>
    <dataValidation type="whole" operator="greaterThanOrEqual" allowBlank="1" showInputMessage="1" showErrorMessage="1" sqref="C15">
      <formula1>P6-10</formula1>
    </dataValidation>
    <dataValidation type="whole" operator="greaterThanOrEqual" allowBlank="1" showInputMessage="1" showErrorMessage="1" sqref="C16">
      <formula1>Q6-10</formula1>
    </dataValidation>
  </dataValidations>
  <hyperlinks>
    <hyperlink ref="M7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abSelected="1" topLeftCell="A25" zoomScale="85" zoomScaleNormal="85" workbookViewId="0">
      <selection activeCell="K35" sqref="K35"/>
    </sheetView>
  </sheetViews>
  <sheetFormatPr defaultRowHeight="15" x14ac:dyDescent="0.25"/>
  <cols>
    <col min="1" max="1" width="3.7109375" style="72" customWidth="1"/>
    <col min="2" max="2" width="49.85546875" style="72" customWidth="1"/>
    <col min="3" max="3" width="16.28515625" style="72" customWidth="1"/>
    <col min="4" max="9" width="13.7109375" style="72" customWidth="1"/>
    <col min="10" max="10" width="41" style="72" customWidth="1"/>
    <col min="11" max="11" width="11.7109375" style="72" customWidth="1"/>
    <col min="12" max="16384" width="9.140625" style="72"/>
  </cols>
  <sheetData>
    <row r="2" spans="2:12" ht="15.75" x14ac:dyDescent="0.25">
      <c r="B2" s="70" t="s">
        <v>8</v>
      </c>
      <c r="C2" s="71" t="s">
        <v>153</v>
      </c>
      <c r="D2" s="70"/>
      <c r="E2" s="70"/>
      <c r="F2" s="70"/>
      <c r="G2" s="70"/>
      <c r="H2" s="70"/>
      <c r="I2" s="70"/>
      <c r="J2" s="70"/>
    </row>
    <row r="3" spans="2:12" ht="15.75" customHeight="1" x14ac:dyDescent="0.25">
      <c r="B3" s="73" t="s">
        <v>162</v>
      </c>
      <c r="C3" s="74" t="s">
        <v>123</v>
      </c>
      <c r="D3" s="75" t="s">
        <v>116</v>
      </c>
      <c r="E3" s="76"/>
      <c r="F3" s="75" t="s">
        <v>119</v>
      </c>
      <c r="G3" s="76"/>
      <c r="H3" s="75" t="s">
        <v>120</v>
      </c>
      <c r="I3" s="76"/>
      <c r="J3" s="74" t="s">
        <v>152</v>
      </c>
      <c r="K3" s="74" t="s">
        <v>161</v>
      </c>
      <c r="L3" s="74"/>
    </row>
    <row r="4" spans="2:12" ht="27" x14ac:dyDescent="0.25">
      <c r="B4" s="77" t="s">
        <v>115</v>
      </c>
      <c r="C4" s="78"/>
      <c r="D4" s="79" t="s">
        <v>117</v>
      </c>
      <c r="E4" s="80" t="s">
        <v>118</v>
      </c>
      <c r="F4" s="79" t="s">
        <v>117</v>
      </c>
      <c r="G4" s="80" t="s">
        <v>118</v>
      </c>
      <c r="H4" s="79" t="s">
        <v>121</v>
      </c>
      <c r="I4" s="80" t="s">
        <v>122</v>
      </c>
      <c r="J4" s="78"/>
      <c r="K4" s="78"/>
    </row>
    <row r="5" spans="2:12" x14ac:dyDescent="0.25">
      <c r="B5" s="81"/>
      <c r="C5" s="82"/>
      <c r="D5" s="82"/>
      <c r="E5" s="82"/>
      <c r="F5" s="82"/>
      <c r="G5" s="82"/>
      <c r="H5" s="82"/>
      <c r="I5" s="82"/>
      <c r="J5" s="83"/>
      <c r="K5" s="88"/>
    </row>
    <row r="6" spans="2:12" x14ac:dyDescent="0.25">
      <c r="B6" s="81" t="s">
        <v>130</v>
      </c>
      <c r="C6" s="82">
        <v>1</v>
      </c>
      <c r="D6" s="82"/>
      <c r="E6" s="82"/>
      <c r="F6" s="82"/>
      <c r="G6" s="82"/>
      <c r="H6" s="82"/>
      <c r="I6" s="82"/>
      <c r="J6" s="83"/>
      <c r="K6" s="81" t="s">
        <v>97</v>
      </c>
    </row>
    <row r="7" spans="2:12" x14ac:dyDescent="0.25">
      <c r="B7" s="81" t="s">
        <v>124</v>
      </c>
      <c r="C7" s="82">
        <v>2</v>
      </c>
      <c r="D7" s="82"/>
      <c r="E7" s="82"/>
      <c r="F7" s="82"/>
      <c r="G7" s="82"/>
      <c r="H7" s="82"/>
      <c r="I7" s="82"/>
      <c r="J7" s="83"/>
      <c r="K7" s="81" t="s">
        <v>97</v>
      </c>
    </row>
    <row r="8" spans="2:12" x14ac:dyDescent="0.25">
      <c r="B8" s="81" t="s">
        <v>125</v>
      </c>
      <c r="C8" s="82">
        <v>4</v>
      </c>
      <c r="D8" s="82"/>
      <c r="E8" s="82"/>
      <c r="F8" s="82"/>
      <c r="G8" s="82"/>
      <c r="H8" s="82"/>
      <c r="I8" s="82"/>
      <c r="J8" s="83"/>
      <c r="K8" s="81" t="s">
        <v>97</v>
      </c>
    </row>
    <row r="9" spans="2:12" x14ac:dyDescent="0.25">
      <c r="B9" s="81" t="s">
        <v>126</v>
      </c>
      <c r="C9" s="82">
        <v>1</v>
      </c>
      <c r="D9" s="82"/>
      <c r="E9" s="82"/>
      <c r="F9" s="82"/>
      <c r="G9" s="82"/>
      <c r="H9" s="82"/>
      <c r="I9" s="82"/>
      <c r="J9" s="83"/>
      <c r="K9" s="81" t="s">
        <v>97</v>
      </c>
    </row>
    <row r="10" spans="2:12" x14ac:dyDescent="0.25">
      <c r="B10" s="81" t="s">
        <v>127</v>
      </c>
      <c r="C10" s="82">
        <v>1</v>
      </c>
      <c r="D10" s="82"/>
      <c r="E10" s="82"/>
      <c r="F10" s="82"/>
      <c r="G10" s="82"/>
      <c r="H10" s="82"/>
      <c r="I10" s="82"/>
      <c r="J10" s="83"/>
      <c r="K10" s="81" t="s">
        <v>97</v>
      </c>
    </row>
    <row r="11" spans="2:12" x14ac:dyDescent="0.25">
      <c r="B11" s="81" t="s">
        <v>128</v>
      </c>
      <c r="C11" s="82">
        <v>1</v>
      </c>
      <c r="D11" s="82"/>
      <c r="E11" s="82"/>
      <c r="F11" s="82"/>
      <c r="G11" s="82"/>
      <c r="H11" s="82"/>
      <c r="I11" s="82"/>
      <c r="J11" s="83"/>
      <c r="K11" s="81" t="s">
        <v>97</v>
      </c>
    </row>
    <row r="12" spans="2:12" x14ac:dyDescent="0.25">
      <c r="B12" s="81" t="s">
        <v>129</v>
      </c>
      <c r="C12" s="82" t="s">
        <v>132</v>
      </c>
      <c r="D12" s="82"/>
      <c r="E12" s="82"/>
      <c r="F12" s="82"/>
      <c r="G12" s="82"/>
      <c r="H12" s="82"/>
      <c r="I12" s="82"/>
      <c r="J12" s="83"/>
      <c r="K12" s="81"/>
    </row>
    <row r="13" spans="2:12" x14ac:dyDescent="0.25">
      <c r="B13" s="81" t="s">
        <v>131</v>
      </c>
      <c r="C13" s="82">
        <v>2</v>
      </c>
      <c r="D13" s="82"/>
      <c r="E13" s="82"/>
      <c r="F13" s="82"/>
      <c r="G13" s="82"/>
      <c r="H13" s="82"/>
      <c r="I13" s="82"/>
      <c r="J13" s="83"/>
      <c r="K13" s="81" t="s">
        <v>97</v>
      </c>
    </row>
    <row r="14" spans="2:12" x14ac:dyDescent="0.25">
      <c r="B14" s="81"/>
      <c r="C14" s="82"/>
      <c r="D14" s="82"/>
      <c r="E14" s="82"/>
      <c r="F14" s="82"/>
      <c r="G14" s="82"/>
      <c r="H14" s="82"/>
      <c r="I14" s="82"/>
      <c r="J14" s="83"/>
      <c r="K14" s="88"/>
    </row>
    <row r="15" spans="2:12" x14ac:dyDescent="0.25">
      <c r="B15" s="81" t="s">
        <v>145</v>
      </c>
      <c r="C15" s="82"/>
      <c r="D15" s="82"/>
      <c r="E15" s="82"/>
      <c r="F15" s="82"/>
      <c r="G15" s="82">
        <v>1</v>
      </c>
      <c r="H15" s="82"/>
      <c r="I15" s="82"/>
      <c r="J15" s="83"/>
      <c r="K15" s="81" t="s">
        <v>97</v>
      </c>
    </row>
    <row r="16" spans="2:12" x14ac:dyDescent="0.25">
      <c r="B16" s="81" t="s">
        <v>154</v>
      </c>
      <c r="C16" s="82"/>
      <c r="D16" s="82"/>
      <c r="E16" s="82"/>
      <c r="F16" s="84">
        <v>1</v>
      </c>
      <c r="G16" s="82"/>
      <c r="H16" s="82"/>
      <c r="I16" s="82"/>
      <c r="J16" s="85" t="s">
        <v>159</v>
      </c>
      <c r="K16" s="88"/>
    </row>
    <row r="17" spans="2:11" x14ac:dyDescent="0.25">
      <c r="B17" s="81" t="s">
        <v>144</v>
      </c>
      <c r="C17" s="82"/>
      <c r="D17" s="82"/>
      <c r="E17" s="82"/>
      <c r="F17" s="82"/>
      <c r="G17" s="82">
        <v>1</v>
      </c>
      <c r="H17" s="82"/>
      <c r="I17" s="82"/>
      <c r="J17" s="83"/>
      <c r="K17" s="81" t="s">
        <v>97</v>
      </c>
    </row>
    <row r="18" spans="2:11" x14ac:dyDescent="0.25">
      <c r="B18" s="81" t="s">
        <v>155</v>
      </c>
      <c r="C18" s="82"/>
      <c r="D18" s="82"/>
      <c r="E18" s="82"/>
      <c r="F18" s="84">
        <v>1</v>
      </c>
      <c r="G18" s="82"/>
      <c r="H18" s="82"/>
      <c r="I18" s="82"/>
      <c r="J18" s="85" t="s">
        <v>159</v>
      </c>
      <c r="K18" s="88"/>
    </row>
    <row r="19" spans="2:11" x14ac:dyDescent="0.25">
      <c r="B19" s="81" t="s">
        <v>147</v>
      </c>
      <c r="C19" s="82"/>
      <c r="D19" s="82"/>
      <c r="E19" s="82"/>
      <c r="F19" s="82"/>
      <c r="G19" s="82">
        <v>1</v>
      </c>
      <c r="H19" s="82"/>
      <c r="I19" s="82"/>
      <c r="J19" s="83"/>
      <c r="K19" s="81" t="s">
        <v>97</v>
      </c>
    </row>
    <row r="20" spans="2:11" x14ac:dyDescent="0.25">
      <c r="B20" s="81" t="s">
        <v>156</v>
      </c>
      <c r="C20" s="82"/>
      <c r="D20" s="82"/>
      <c r="E20" s="82"/>
      <c r="F20" s="84">
        <v>1</v>
      </c>
      <c r="G20" s="82"/>
      <c r="H20" s="82"/>
      <c r="I20" s="82"/>
      <c r="J20" s="85" t="s">
        <v>159</v>
      </c>
      <c r="K20" s="88"/>
    </row>
    <row r="21" spans="2:11" x14ac:dyDescent="0.25">
      <c r="B21" s="81" t="s">
        <v>146</v>
      </c>
      <c r="C21" s="82"/>
      <c r="D21" s="82"/>
      <c r="E21" s="82"/>
      <c r="F21" s="82"/>
      <c r="G21" s="82">
        <v>1</v>
      </c>
      <c r="H21" s="82"/>
      <c r="I21" s="82"/>
      <c r="J21" s="83"/>
      <c r="K21" s="81" t="s">
        <v>97</v>
      </c>
    </row>
    <row r="22" spans="2:11" x14ac:dyDescent="0.25">
      <c r="B22" s="81" t="s">
        <v>157</v>
      </c>
      <c r="C22" s="82"/>
      <c r="D22" s="82"/>
      <c r="E22" s="82"/>
      <c r="F22" s="84">
        <v>1</v>
      </c>
      <c r="G22" s="82"/>
      <c r="H22" s="82"/>
      <c r="I22" s="82"/>
      <c r="J22" s="85" t="s">
        <v>159</v>
      </c>
      <c r="K22" s="88"/>
    </row>
    <row r="23" spans="2:11" x14ac:dyDescent="0.25">
      <c r="B23" s="81"/>
      <c r="C23" s="82"/>
      <c r="D23" s="82"/>
      <c r="E23" s="82"/>
      <c r="F23" s="82"/>
      <c r="G23" s="82"/>
      <c r="H23" s="82"/>
      <c r="I23" s="82"/>
      <c r="J23" s="83"/>
      <c r="K23" s="88"/>
    </row>
    <row r="24" spans="2:11" x14ac:dyDescent="0.25">
      <c r="B24" s="86" t="s">
        <v>133</v>
      </c>
      <c r="C24" s="82"/>
      <c r="D24" s="82"/>
      <c r="E24" s="82"/>
      <c r="F24" s="82">
        <v>2</v>
      </c>
      <c r="G24" s="82"/>
      <c r="H24" s="82"/>
      <c r="I24" s="82"/>
      <c r="J24" s="83"/>
      <c r="K24" s="88"/>
    </row>
    <row r="25" spans="2:11" x14ac:dyDescent="0.25">
      <c r="B25" s="86" t="s">
        <v>134</v>
      </c>
      <c r="C25" s="82"/>
      <c r="D25" s="82"/>
      <c r="E25" s="82"/>
      <c r="F25" s="82"/>
      <c r="G25" s="82">
        <v>2</v>
      </c>
      <c r="H25" s="82"/>
      <c r="I25" s="82"/>
      <c r="J25" s="83"/>
      <c r="K25" s="81" t="s">
        <v>97</v>
      </c>
    </row>
    <row r="26" spans="2:11" x14ac:dyDescent="0.25">
      <c r="B26" s="81"/>
      <c r="C26" s="82"/>
      <c r="D26" s="82"/>
      <c r="E26" s="82"/>
      <c r="F26" s="82"/>
      <c r="G26" s="82"/>
      <c r="H26" s="82"/>
      <c r="I26" s="82"/>
      <c r="J26" s="83"/>
      <c r="K26" s="88"/>
    </row>
    <row r="27" spans="2:11" x14ac:dyDescent="0.25">
      <c r="B27" s="86" t="s">
        <v>135</v>
      </c>
      <c r="C27" s="82"/>
      <c r="D27" s="87">
        <v>2</v>
      </c>
      <c r="E27" s="82"/>
      <c r="F27" s="87"/>
      <c r="G27" s="82"/>
      <c r="H27" s="82"/>
      <c r="I27" s="82"/>
      <c r="J27" s="83"/>
      <c r="K27" s="88"/>
    </row>
    <row r="28" spans="2:11" x14ac:dyDescent="0.25">
      <c r="B28" s="86" t="s">
        <v>136</v>
      </c>
      <c r="C28" s="82"/>
      <c r="D28" s="87">
        <v>2</v>
      </c>
      <c r="E28" s="82"/>
      <c r="F28" s="82"/>
      <c r="G28" s="87"/>
      <c r="H28" s="82"/>
      <c r="I28" s="82"/>
      <c r="J28" s="83"/>
      <c r="K28" s="88"/>
    </row>
    <row r="29" spans="2:11" x14ac:dyDescent="0.25">
      <c r="B29" s="86" t="s">
        <v>137</v>
      </c>
      <c r="C29" s="82"/>
      <c r="D29" s="82"/>
      <c r="E29" s="87">
        <v>2</v>
      </c>
      <c r="F29" s="87"/>
      <c r="G29" s="82"/>
      <c r="H29" s="82"/>
      <c r="I29" s="82"/>
      <c r="J29" s="83"/>
      <c r="K29" s="88"/>
    </row>
    <row r="30" spans="2:11" x14ac:dyDescent="0.25">
      <c r="B30" s="86" t="s">
        <v>138</v>
      </c>
      <c r="C30" s="82"/>
      <c r="D30" s="82"/>
      <c r="E30" s="87">
        <v>2</v>
      </c>
      <c r="F30" s="82"/>
      <c r="G30" s="87"/>
      <c r="H30" s="82"/>
      <c r="I30" s="82"/>
      <c r="J30" s="83"/>
      <c r="K30" s="81" t="s">
        <v>97</v>
      </c>
    </row>
    <row r="31" spans="2:11" x14ac:dyDescent="0.25">
      <c r="B31" s="81"/>
      <c r="C31" s="82"/>
      <c r="D31" s="82"/>
      <c r="E31" s="82"/>
      <c r="F31" s="82"/>
      <c r="G31" s="82"/>
      <c r="H31" s="82"/>
      <c r="I31" s="82"/>
      <c r="J31" s="83"/>
      <c r="K31" s="88"/>
    </row>
    <row r="32" spans="2:11" x14ac:dyDescent="0.25">
      <c r="B32" s="86" t="s">
        <v>139</v>
      </c>
      <c r="C32" s="82">
        <v>2</v>
      </c>
      <c r="D32" s="82"/>
      <c r="E32" s="82"/>
      <c r="F32" s="82"/>
      <c r="G32" s="82"/>
      <c r="H32" s="82"/>
      <c r="I32" s="82"/>
      <c r="J32" s="83"/>
      <c r="K32" s="81" t="s">
        <v>97</v>
      </c>
    </row>
    <row r="33" spans="2:11" x14ac:dyDescent="0.25">
      <c r="B33" s="86" t="s">
        <v>140</v>
      </c>
      <c r="C33" s="82">
        <v>1</v>
      </c>
      <c r="D33" s="82"/>
      <c r="E33" s="82"/>
      <c r="F33" s="82"/>
      <c r="G33" s="82"/>
      <c r="H33" s="82"/>
      <c r="I33" s="82"/>
      <c r="J33" s="83"/>
      <c r="K33" s="81" t="s">
        <v>97</v>
      </c>
    </row>
    <row r="34" spans="2:11" x14ac:dyDescent="0.25">
      <c r="B34" s="81"/>
      <c r="C34" s="82"/>
      <c r="D34" s="82"/>
      <c r="E34" s="82"/>
      <c r="F34" s="82"/>
      <c r="G34" s="82"/>
      <c r="H34" s="82"/>
      <c r="I34" s="82"/>
      <c r="J34" s="83"/>
      <c r="K34" s="88"/>
    </row>
    <row r="35" spans="2:11" x14ac:dyDescent="0.25">
      <c r="B35" s="86" t="s">
        <v>141</v>
      </c>
      <c r="C35" s="82"/>
      <c r="D35" s="82"/>
      <c r="E35" s="82"/>
      <c r="F35" s="82"/>
      <c r="G35" s="82"/>
      <c r="H35" s="82">
        <v>2</v>
      </c>
      <c r="I35" s="82">
        <v>4</v>
      </c>
      <c r="J35" s="83"/>
      <c r="K35" s="81">
        <v>3</v>
      </c>
    </row>
    <row r="36" spans="2:11" x14ac:dyDescent="0.25">
      <c r="B36" s="86" t="s">
        <v>149</v>
      </c>
      <c r="C36" s="81"/>
      <c r="D36" s="81"/>
      <c r="E36" s="81"/>
      <c r="F36" s="81"/>
      <c r="G36" s="81"/>
      <c r="H36" s="82">
        <v>2</v>
      </c>
      <c r="I36" s="82">
        <v>2</v>
      </c>
      <c r="J36" s="83"/>
      <c r="K36" s="81"/>
    </row>
    <row r="37" spans="2:11" x14ac:dyDescent="0.25">
      <c r="B37" s="86" t="s">
        <v>148</v>
      </c>
      <c r="C37" s="81"/>
      <c r="D37" s="81"/>
      <c r="E37" s="81"/>
      <c r="F37" s="81"/>
      <c r="G37" s="81"/>
      <c r="H37" s="82">
        <v>2</v>
      </c>
      <c r="I37" s="82">
        <v>2</v>
      </c>
      <c r="J37" s="83"/>
      <c r="K37" s="81"/>
    </row>
    <row r="38" spans="2:11" x14ac:dyDescent="0.25">
      <c r="B38" s="86" t="s">
        <v>151</v>
      </c>
      <c r="C38" s="82"/>
      <c r="D38" s="82"/>
      <c r="E38" s="82"/>
      <c r="F38" s="82"/>
      <c r="G38" s="82"/>
      <c r="H38" s="82"/>
      <c r="I38" s="82">
        <v>2</v>
      </c>
      <c r="J38" s="83"/>
      <c r="K38" s="81"/>
    </row>
    <row r="39" spans="2:11" x14ac:dyDescent="0.25">
      <c r="B39" s="86" t="s">
        <v>150</v>
      </c>
      <c r="C39" s="82"/>
      <c r="D39" s="82"/>
      <c r="E39" s="82"/>
      <c r="F39" s="82"/>
      <c r="G39" s="82"/>
      <c r="H39" s="82"/>
      <c r="I39" s="82">
        <v>2</v>
      </c>
      <c r="J39" s="83"/>
      <c r="K39" s="81"/>
    </row>
    <row r="40" spans="2:11" x14ac:dyDescent="0.25">
      <c r="B40" s="86"/>
      <c r="C40" s="82"/>
      <c r="D40" s="82"/>
      <c r="E40" s="82"/>
      <c r="F40" s="82"/>
      <c r="G40" s="82"/>
      <c r="H40" s="82"/>
      <c r="I40" s="82"/>
      <c r="J40" s="83"/>
      <c r="K40" s="88"/>
    </row>
    <row r="41" spans="2:11" x14ac:dyDescent="0.25">
      <c r="B41" s="86" t="s">
        <v>142</v>
      </c>
      <c r="C41" s="81"/>
      <c r="D41" s="81"/>
      <c r="E41" s="81"/>
      <c r="F41" s="81"/>
      <c r="G41" s="81"/>
      <c r="H41" s="82">
        <v>1</v>
      </c>
      <c r="I41" s="82">
        <v>2</v>
      </c>
      <c r="J41" s="83"/>
      <c r="K41" s="81"/>
    </row>
    <row r="42" spans="2:11" x14ac:dyDescent="0.25">
      <c r="B42" s="86" t="s">
        <v>143</v>
      </c>
      <c r="C42" s="81"/>
      <c r="D42" s="81"/>
      <c r="E42" s="81"/>
      <c r="F42" s="81"/>
      <c r="G42" s="81"/>
      <c r="H42" s="82">
        <v>1</v>
      </c>
      <c r="I42" s="82">
        <v>2</v>
      </c>
      <c r="J42" s="83"/>
      <c r="K42" s="81"/>
    </row>
  </sheetData>
  <mergeCells count="3">
    <mergeCell ref="D3:E3"/>
    <mergeCell ref="F3:G3"/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Configuration</vt:lpstr>
      <vt:lpstr>Print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Steve Kaschimer</cp:lastModifiedBy>
  <dcterms:created xsi:type="dcterms:W3CDTF">2017-04-09T06:29:57Z</dcterms:created>
  <dcterms:modified xsi:type="dcterms:W3CDTF">2017-06-19T19:13:29Z</dcterms:modified>
</cp:coreProperties>
</file>