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T-Tito_AT-SpinoGround40cmDish" sheetId="1" r:id="rId3"/>
    <sheet state="visible" name="8db_IBO" sheetId="2" r:id="rId4"/>
    <sheet state="visible" name="GT-Tito_AT-Spino10Km40cmDish" sheetId="3" r:id="rId5"/>
    <sheet state="visible" name="GT-Tito_AT-SpinoGroundMinsize" sheetId="4" r:id="rId6"/>
    <sheet state="visible" name="Utilities" sheetId="5" r:id="rId7"/>
  </sheets>
  <definedNames/>
  <calcPr/>
</workbook>
</file>

<file path=xl/sharedStrings.xml><?xml version="1.0" encoding="utf-8"?>
<sst xmlns="http://schemas.openxmlformats.org/spreadsheetml/2006/main" count="634" uniqueCount="146">
  <si>
    <t>Channel</t>
  </si>
  <si>
    <t>UPLINK (TITO GW)</t>
  </si>
  <si>
    <t>DOWNLINK (SPINO AT)</t>
  </si>
  <si>
    <t>BW (MHz)</t>
  </si>
  <si>
    <t>Channel Bandwidth</t>
  </si>
  <si>
    <t>Satellite</t>
  </si>
  <si>
    <t>Roll-off factor (%)</t>
  </si>
  <si>
    <t>Satellite Position (°)</t>
  </si>
  <si>
    <t>Rs (Msymbols/s)</t>
  </si>
  <si>
    <t>Symbol Rate</t>
  </si>
  <si>
    <t>Ground Station</t>
  </si>
  <si>
    <t>Modulation</t>
  </si>
  <si>
    <t>QPSK</t>
  </si>
  <si>
    <t>Latitute (°)</t>
  </si>
  <si>
    <t>Correction</t>
  </si>
  <si>
    <t>Longitude (°)</t>
  </si>
  <si>
    <t>Bits/symbol</t>
  </si>
  <si>
    <t>bits/symbol</t>
  </si>
  <si>
    <t>L (LongES-LongSat)</t>
  </si>
  <si>
    <t>Rb (Mbits/s)</t>
  </si>
  <si>
    <t>with the correction</t>
  </si>
  <si>
    <t>Dis. GS to Satellite (Km)</t>
  </si>
  <si>
    <t xml:space="preserve"> If desired, insert altitud correction in Km</t>
  </si>
  <si>
    <t>Spectral Efficiency</t>
  </si>
  <si>
    <t>GS Azimuth angle (°)</t>
  </si>
  <si>
    <t>bits/Hz</t>
  </si>
  <si>
    <t>GS Elevation angle (°)</t>
  </si>
  <si>
    <t>Target throughput</t>
  </si>
  <si>
    <t>Mbit/s</t>
  </si>
  <si>
    <t>Uplink</t>
  </si>
  <si>
    <t>Required Es/No</t>
  </si>
  <si>
    <t>Frequenzy (GHz)</t>
  </si>
  <si>
    <t>λ (m)</t>
  </si>
  <si>
    <t>Wavelength</t>
  </si>
  <si>
    <t>Antenna parameters</t>
  </si>
  <si>
    <t>LEGEND</t>
  </si>
  <si>
    <t>D (m)</t>
  </si>
  <si>
    <t>TX Antenna Diameter</t>
  </si>
  <si>
    <t>RX Antenna Diameter</t>
  </si>
  <si>
    <t>Input</t>
  </si>
  <si>
    <t>η (%)</t>
  </si>
  <si>
    <t>TX Antenna Efficiency</t>
  </si>
  <si>
    <t>RX Antenna Efficiency</t>
  </si>
  <si>
    <t>Calculated</t>
  </si>
  <si>
    <t>G (dBi)</t>
  </si>
  <si>
    <t>TX Antenna Gain</t>
  </si>
  <si>
    <t>RX Antenna Gain</t>
  </si>
  <si>
    <t>Uplink Losses</t>
  </si>
  <si>
    <t>Downlink Losses</t>
  </si>
  <si>
    <t>Lfr (dB)</t>
  </si>
  <si>
    <t>TX Antenna Feed Losses</t>
  </si>
  <si>
    <t>Tmr (K)</t>
  </si>
  <si>
    <t>Atm. Mean Radiating Temp.</t>
  </si>
  <si>
    <t>Tg (K)</t>
  </si>
  <si>
    <t>Ground Noise Emmission</t>
  </si>
  <si>
    <t>Lr(dB)</t>
  </si>
  <si>
    <t>TX Antenna Depointing Losses</t>
  </si>
  <si>
    <t>Tphy (K)</t>
  </si>
  <si>
    <t>Receiver Physical Temp.</t>
  </si>
  <si>
    <t>Aatm (dB)</t>
  </si>
  <si>
    <t>Atmospheric Attenuation</t>
  </si>
  <si>
    <t>Aatm(dB)</t>
  </si>
  <si>
    <t xml:space="preserve">Uplink Atmospheric Attenuation </t>
  </si>
  <si>
    <t>NF (dB)</t>
  </si>
  <si>
    <t xml:space="preserve">GW Receiver Noise Figure </t>
  </si>
  <si>
    <t>Tb (K)</t>
  </si>
  <si>
    <t>Sky Brightness Temp.</t>
  </si>
  <si>
    <t>FSPL(dB)</t>
  </si>
  <si>
    <t>Uplink Free Space Path Loss</t>
  </si>
  <si>
    <t>Tr (K)</t>
  </si>
  <si>
    <t>Receiver Noise Temp.</t>
  </si>
  <si>
    <t>Tant (K)</t>
  </si>
  <si>
    <t>Antenna Temperature</t>
  </si>
  <si>
    <t>Uplink parameters</t>
  </si>
  <si>
    <t>RX Antenna Feed Losses</t>
  </si>
  <si>
    <t>Tsys (k)</t>
  </si>
  <si>
    <t>System Temperature</t>
  </si>
  <si>
    <t>Pt (dBm)</t>
  </si>
  <si>
    <t>Transmitter Power</t>
  </si>
  <si>
    <t>Lr (dB)</t>
  </si>
  <si>
    <t>RX Antenna Depointing Losses</t>
  </si>
  <si>
    <t>FSPL (dB)</t>
  </si>
  <si>
    <t>RX Free Space Path Loss</t>
  </si>
  <si>
    <t>EIRP(dBW)</t>
  </si>
  <si>
    <t>Downlink parameters</t>
  </si>
  <si>
    <t>Pr (dBW)</t>
  </si>
  <si>
    <t>Power Received at satellite</t>
  </si>
  <si>
    <t>EIRP (dBm)</t>
  </si>
  <si>
    <t>G/T (dB/K)</t>
  </si>
  <si>
    <t>Satellite Gain-to-Noise Ratio</t>
  </si>
  <si>
    <t xml:space="preserve">Receiver Gain-to-Noise Ratio </t>
  </si>
  <si>
    <t>Uplink results</t>
  </si>
  <si>
    <t>C/Im (dB)</t>
  </si>
  <si>
    <t>Satellite Carrier-to-Intermodulation Ratio</t>
  </si>
  <si>
    <t>Receiver Carrier-to-Intermodulation Ratio</t>
  </si>
  <si>
    <t>C/I (dB)</t>
  </si>
  <si>
    <t>Satellite Carrier-to-Interferance Ratio</t>
  </si>
  <si>
    <t>Receiver Carrier-to-Interferance Ratio</t>
  </si>
  <si>
    <t>PFD (dBW/m^2)</t>
  </si>
  <si>
    <t>Power Flux Density at Satellite</t>
  </si>
  <si>
    <t xml:space="preserve">Power Flux Density at RX </t>
  </si>
  <si>
    <t>C/No (dBHz)</t>
  </si>
  <si>
    <t>Satellite Carrier-to-Noise Density Ratio</t>
  </si>
  <si>
    <t>RX Carrier-to-Noise Density Ratio</t>
  </si>
  <si>
    <t>C/N (dB)</t>
  </si>
  <si>
    <t>Satellite Carrier-to-Noise Ratio</t>
  </si>
  <si>
    <t>RX Carrier-to-Noise Ratio</t>
  </si>
  <si>
    <t>Uplink C/(N+Im+I) (dB)</t>
  </si>
  <si>
    <t>Uplink C/(No+Im+I) (dB)</t>
  </si>
  <si>
    <t>Overall C/(N+Im+I) (dB)</t>
  </si>
  <si>
    <t>Margin obtained</t>
  </si>
  <si>
    <t>NF maximum for a defined antenna size and G/T</t>
  </si>
  <si>
    <t>EIRP density from EIRP and channel BW</t>
  </si>
  <si>
    <t>Minimum antenna size for a given output power and EIRP density</t>
  </si>
  <si>
    <t>Frequency (GHz)</t>
  </si>
  <si>
    <t>Atm. mean radiating temperature</t>
  </si>
  <si>
    <t>EIRP (dBW)</t>
  </si>
  <si>
    <t>EIRP density (dBW/MHz)</t>
  </si>
  <si>
    <t>Wavelength (m)</t>
  </si>
  <si>
    <t>Receiver physical temperature</t>
  </si>
  <si>
    <t>Output power (dBW)</t>
  </si>
  <si>
    <t>Antenna diametre (m)</t>
  </si>
  <si>
    <t>Ground temperature</t>
  </si>
  <si>
    <t>Antenna efficiency η (%)</t>
  </si>
  <si>
    <t>Athmospheric attenuation</t>
  </si>
  <si>
    <t>Antenna gain (dBi)</t>
  </si>
  <si>
    <t>Sky brightness</t>
  </si>
  <si>
    <t>EIRP from EIRP density and channel BW</t>
  </si>
  <si>
    <t>Antenna efficiency (%)</t>
  </si>
  <si>
    <t>Antenna feed losses</t>
  </si>
  <si>
    <t>Antenna depointing losses</t>
  </si>
  <si>
    <t>Antenna Gain (dBi)</t>
  </si>
  <si>
    <t>Antenna temperature</t>
  </si>
  <si>
    <t>Required G/T</t>
  </si>
  <si>
    <t>System required G/T</t>
  </si>
  <si>
    <t>Maximum Tsys</t>
  </si>
  <si>
    <t>Maximum required system temp.</t>
  </si>
  <si>
    <t>Minimum output power for a given antenna size and EIRP density</t>
  </si>
  <si>
    <t>Maximum NF</t>
  </si>
  <si>
    <t>Maximum NF for the system</t>
  </si>
  <si>
    <t>Minimum antenna size for a defined NF and G/T</t>
  </si>
  <si>
    <t>Antenna size (m)</t>
  </si>
  <si>
    <t>NF</t>
  </si>
  <si>
    <t>NF for the system</t>
  </si>
  <si>
    <t>Tsys</t>
  </si>
  <si>
    <t>System temp.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</si>
</sst>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sz val="11.0"/>
      <color rgb="FF000000"/>
      <name val="Calibri"/>
    </font>
    <font/>
    <font>
      <b/>
      <sz val="11.0"/>
      <color rgb="FFFFFFFF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8D08D"/>
        <bgColor rgb="FFA8D08D"/>
      </patternFill>
    </fill>
    <fill>
      <patternFill patternType="solid">
        <fgColor rgb="FFBDD6EE"/>
        <bgColor rgb="FFBDD6EE"/>
      </patternFill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  <fill>
      <patternFill patternType="solid">
        <fgColor rgb="FFFFD965"/>
        <bgColor rgb="FFFFD965"/>
      </patternFill>
    </fill>
    <fill>
      <patternFill patternType="solid">
        <fgColor rgb="FFB4C6E7"/>
        <bgColor rgb="FFB4C6E7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  <fill>
      <patternFill patternType="solid">
        <fgColor rgb="FF548135"/>
        <bgColor rgb="FF548135"/>
      </patternFill>
    </fill>
  </fills>
  <borders count="33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/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/>
      <top/>
      <bottom/>
    </border>
    <border>
      <bottom style="medium">
        <color rgb="FF000000"/>
      </bottom>
    </border>
    <border>
      <left style="medium">
        <color rgb="FF000000"/>
      </left>
      <right/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1" fillId="2" fontId="1" numFmtId="0" xfId="0" applyBorder="1" applyFont="1"/>
    <xf borderId="2" fillId="3" fontId="1" numFmtId="0" xfId="0" applyBorder="1" applyFill="1" applyFont="1"/>
    <xf borderId="3" fillId="3" fontId="0" numFmtId="0" xfId="0" applyBorder="1" applyFont="1"/>
    <xf borderId="4" fillId="3" fontId="0" numFmtId="0" xfId="0" applyBorder="1" applyFont="1"/>
    <xf borderId="5" fillId="3" fontId="1" numFmtId="0" xfId="0" applyBorder="1" applyFont="1"/>
    <xf borderId="6" fillId="3" fontId="0" numFmtId="0" xfId="0" applyBorder="1" applyFont="1"/>
    <xf borderId="7" fillId="3" fontId="0" numFmtId="0" xfId="0" applyBorder="1" applyFont="1"/>
    <xf borderId="8" fillId="0" fontId="1" numFmtId="0" xfId="0" applyBorder="1" applyFont="1"/>
    <xf borderId="1" fillId="4" fontId="0" numFmtId="0" xfId="0" applyAlignment="1" applyBorder="1" applyFill="1" applyFont="1">
      <alignment horizontal="right"/>
    </xf>
    <xf borderId="1" fillId="5" fontId="0" numFmtId="0" xfId="0" applyAlignment="1" applyBorder="1" applyFill="1" applyFont="1">
      <alignment horizontal="right"/>
    </xf>
    <xf borderId="9" fillId="6" fontId="1" numFmtId="0" xfId="0" applyBorder="1" applyFill="1" applyFont="1"/>
    <xf borderId="3" fillId="6" fontId="0" numFmtId="0" xfId="0" applyBorder="1" applyFont="1"/>
    <xf borderId="9" fillId="6" fontId="0" numFmtId="0" xfId="0" applyBorder="1" applyFont="1"/>
    <xf borderId="4" fillId="6" fontId="0" numFmtId="0" xfId="0" applyBorder="1" applyFont="1"/>
    <xf borderId="10" fillId="0" fontId="1" numFmtId="0" xfId="0" applyBorder="1" applyFont="1"/>
    <xf borderId="11" fillId="2" fontId="1" numFmtId="0" xfId="0" applyBorder="1" applyFont="1"/>
    <xf borderId="1" fillId="4" fontId="0" numFmtId="0" xfId="0" applyBorder="1" applyFont="1"/>
    <xf borderId="11" fillId="2" fontId="0" numFmtId="0" xfId="0" applyBorder="1" applyFont="1"/>
    <xf borderId="11" fillId="4" fontId="0" numFmtId="0" xfId="0" applyBorder="1" applyFont="1"/>
    <xf borderId="12" fillId="2" fontId="0" numFmtId="0" xfId="0" applyBorder="1" applyFont="1"/>
    <xf borderId="6" fillId="2" fontId="0" numFmtId="0" xfId="0" applyBorder="1" applyFont="1"/>
    <xf borderId="7" fillId="2" fontId="0" numFmtId="0" xfId="0" applyBorder="1" applyFont="1"/>
    <xf borderId="0" fillId="0" fontId="0" numFmtId="0" xfId="0" applyAlignment="1" applyFont="1">
      <alignment horizontal="right"/>
    </xf>
    <xf borderId="13" fillId="6" fontId="1" numFmtId="0" xfId="0" applyBorder="1" applyFont="1"/>
    <xf borderId="14" fillId="6" fontId="0" numFmtId="0" xfId="0" applyBorder="1" applyFont="1"/>
    <xf borderId="13" fillId="6" fontId="0" numFmtId="0" xfId="0" applyBorder="1" applyFont="1"/>
    <xf borderId="15" fillId="6" fontId="0" numFmtId="0" xfId="0" applyBorder="1" applyFont="1"/>
    <xf borderId="16" fillId="2" fontId="0" numFmtId="0" xfId="0" applyBorder="1" applyFont="1"/>
    <xf borderId="0" fillId="0" fontId="0" numFmtId="0" xfId="0" applyFont="1"/>
    <xf borderId="10" fillId="0" fontId="0" numFmtId="0" xfId="0" applyBorder="1" applyFont="1"/>
    <xf borderId="9" fillId="0" fontId="1" numFmtId="0" xfId="0" applyBorder="1" applyFont="1"/>
    <xf borderId="17" fillId="0" fontId="0" numFmtId="0" xfId="0" applyBorder="1" applyFont="1"/>
    <xf borderId="18" fillId="0" fontId="0" numFmtId="0" xfId="0" applyBorder="1" applyFont="1"/>
    <xf borderId="19" fillId="0" fontId="1" numFmtId="0" xfId="0" applyBorder="1" applyFont="1"/>
    <xf borderId="14" fillId="4" fontId="0" numFmtId="0" xfId="0" applyBorder="1" applyFont="1"/>
    <xf borderId="13" fillId="2" fontId="1" numFmtId="0" xfId="0" applyBorder="1" applyFont="1"/>
    <xf borderId="12" fillId="4" fontId="0" numFmtId="0" xfId="0" applyBorder="1" applyFont="1"/>
    <xf borderId="2" fillId="7" fontId="1" numFmtId="0" xfId="0" applyBorder="1" applyFill="1" applyFont="1"/>
    <xf borderId="4" fillId="7" fontId="0" numFmtId="0" xfId="0" applyBorder="1" applyFont="1"/>
    <xf borderId="10" fillId="0" fontId="1" numFmtId="0" xfId="0" applyAlignment="1" applyBorder="1" applyFont="1">
      <alignment shrinkToFit="0" wrapText="1"/>
    </xf>
    <xf borderId="20" fillId="0" fontId="1" numFmtId="0" xfId="0" applyBorder="1" applyFont="1"/>
    <xf borderId="12" fillId="8" fontId="0" numFmtId="0" xfId="0" applyBorder="1" applyFill="1" applyFont="1"/>
    <xf borderId="21" fillId="0" fontId="1" numFmtId="0" xfId="0" applyBorder="1" applyFont="1"/>
    <xf borderId="19" fillId="0" fontId="0" numFmtId="0" xfId="0" applyBorder="1" applyFont="1"/>
    <xf borderId="18" fillId="0" fontId="1" numFmtId="0" xfId="0" applyBorder="1" applyFont="1"/>
    <xf borderId="22" fillId="6" fontId="0" numFmtId="0" xfId="0" applyBorder="1" applyFont="1"/>
    <xf borderId="23" fillId="2" fontId="0" numFmtId="0" xfId="0" applyBorder="1" applyFont="1"/>
    <xf borderId="1" fillId="5" fontId="0" numFmtId="0" xfId="0" applyBorder="1" applyFont="1"/>
    <xf borderId="24" fillId="0" fontId="0" numFmtId="0" xfId="0" applyBorder="1" applyFont="1"/>
    <xf borderId="13" fillId="2" fontId="0" numFmtId="0" xfId="0" applyBorder="1" applyFont="1"/>
    <xf borderId="22" fillId="2" fontId="0" numFmtId="0" xfId="0" applyBorder="1" applyFont="1"/>
    <xf borderId="15" fillId="2" fontId="0" numFmtId="0" xfId="0" applyBorder="1" applyFont="1"/>
    <xf borderId="25" fillId="9" fontId="1" numFmtId="0" xfId="0" applyAlignment="1" applyBorder="1" applyFill="1" applyFont="1">
      <alignment horizontal="center" vertical="center"/>
    </xf>
    <xf borderId="26" fillId="9" fontId="0" numFmtId="0" xfId="0" applyAlignment="1" applyBorder="1" applyFont="1">
      <alignment horizontal="center" vertical="center"/>
    </xf>
    <xf borderId="27" fillId="0" fontId="2" numFmtId="0" xfId="0" applyBorder="1" applyFont="1"/>
    <xf borderId="28" fillId="0" fontId="2" numFmtId="0" xfId="0" applyBorder="1" applyFont="1"/>
    <xf borderId="29" fillId="0" fontId="2" numFmtId="0" xfId="0" applyBorder="1" applyFont="1"/>
    <xf borderId="21" fillId="0" fontId="2" numFmtId="0" xfId="0" applyBorder="1" applyFont="1"/>
    <xf borderId="24" fillId="0" fontId="2" numFmtId="0" xfId="0" applyBorder="1" applyFont="1"/>
    <xf borderId="30" fillId="0" fontId="2" numFmtId="0" xfId="0" applyBorder="1" applyFont="1"/>
    <xf borderId="0" fillId="0" fontId="0" numFmtId="0" xfId="0" applyAlignment="1" applyFont="1">
      <alignment vertical="center"/>
    </xf>
    <xf borderId="0" fillId="0" fontId="0" numFmtId="0" xfId="0" applyAlignment="1" applyFont="1">
      <alignment horizontal="center" vertical="center"/>
    </xf>
    <xf borderId="31" fillId="3" fontId="1" numFmtId="0" xfId="0" applyAlignment="1" applyBorder="1" applyFont="1">
      <alignment horizontal="center" vertical="center"/>
    </xf>
    <xf borderId="32" fillId="0" fontId="2" numFmtId="0" xfId="0" applyBorder="1" applyFont="1"/>
    <xf borderId="17" fillId="0" fontId="2" numFmtId="0" xfId="0" applyBorder="1" applyFont="1"/>
    <xf borderId="31" fillId="3" fontId="1" numFmtId="0" xfId="0" applyAlignment="1" applyBorder="1" applyFont="1">
      <alignment horizontal="center"/>
    </xf>
    <xf borderId="8" fillId="0" fontId="1" numFmtId="0" xfId="0" applyAlignment="1" applyBorder="1" applyFont="1">
      <alignment vertical="center"/>
    </xf>
    <xf borderId="1" fillId="8" fontId="0" numFmtId="0" xfId="0" applyAlignment="1" applyBorder="1" applyFont="1">
      <alignment horizontal="center" vertical="center"/>
    </xf>
    <xf borderId="12" fillId="2" fontId="0" numFmtId="0" xfId="0" applyAlignment="1" applyBorder="1" applyFont="1">
      <alignment horizontal="center" vertical="center"/>
    </xf>
    <xf borderId="1" fillId="8" fontId="0" numFmtId="0" xfId="0" applyAlignment="1" applyBorder="1" applyFont="1">
      <alignment horizontal="center"/>
    </xf>
    <xf borderId="12" fillId="10" fontId="0" numFmtId="0" xfId="0" applyBorder="1" applyFill="1" applyFont="1"/>
    <xf borderId="10" fillId="0" fontId="1" numFmtId="0" xfId="0" applyAlignment="1" applyBorder="1" applyFont="1">
      <alignment vertical="center"/>
    </xf>
    <xf borderId="11" fillId="2" fontId="0" numFmtId="0" xfId="0" applyAlignment="1" applyBorder="1" applyFont="1">
      <alignment horizontal="center" vertical="center"/>
    </xf>
    <xf borderId="11" fillId="10" fontId="0" numFmtId="0" xfId="0" applyBorder="1" applyFont="1"/>
    <xf borderId="1" fillId="10" fontId="0" numFmtId="0" xfId="0" applyAlignment="1" applyBorder="1" applyFont="1">
      <alignment horizontal="center" vertical="center"/>
    </xf>
    <xf borderId="9" fillId="11" fontId="3" numFmtId="0" xfId="0" applyBorder="1" applyFill="1" applyFont="1"/>
    <xf borderId="0" fillId="0" fontId="0" numFmtId="0" xfId="0" applyAlignment="1" applyFont="1">
      <alignment horizontal="center"/>
    </xf>
    <xf borderId="11" fillId="2" fontId="0" numFmtId="0" xfId="0" applyAlignment="1" applyBorder="1" applyFont="1">
      <alignment vertical="center"/>
    </xf>
    <xf borderId="1" fillId="2" fontId="0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left" vertical="center"/>
    </xf>
    <xf borderId="14" fillId="2" fontId="0" numFmtId="0" xfId="0" applyBorder="1" applyFont="1"/>
    <xf borderId="1" fillId="10" fontId="0" numFmtId="0" xfId="0" applyAlignment="1" applyBorder="1" applyFont="1">
      <alignment horizontal="center"/>
    </xf>
    <xf borderId="19" fillId="0" fontId="1" numFmtId="0" xfId="0" applyAlignment="1" applyBorder="1" applyFont="1">
      <alignment vertical="center"/>
    </xf>
    <xf borderId="27" fillId="0" fontId="1" numFmtId="0" xfId="0" applyBorder="1" applyFont="1"/>
    <xf borderId="6" fillId="11" fontId="3" numFmtId="0" xfId="0" applyAlignment="1" applyBorder="1" applyFont="1">
      <alignment horizontal="center"/>
    </xf>
    <xf borderId="28" fillId="0" fontId="1" numFmtId="0" xfId="0" applyBorder="1" applyFont="1"/>
    <xf borderId="24" fillId="0" fontId="1" numFmtId="0" xfId="0" applyBorder="1" applyFont="1"/>
    <xf borderId="14" fillId="11" fontId="3" numFmtId="0" xfId="0" applyAlignment="1" applyBorder="1" applyFont="1">
      <alignment horizontal="center"/>
    </xf>
    <xf borderId="30" fillId="0" fontId="1" numFmtId="0" xfId="0" applyBorder="1" applyFont="1"/>
    <xf borderId="8" fillId="0" fontId="0" numFmtId="0" xfId="0" applyAlignment="1" applyBorder="1" applyFont="1">
      <alignment vertical="center"/>
    </xf>
    <xf borderId="12" fillId="8" fontId="0" numFmtId="0" xfId="0" applyAlignment="1" applyBorder="1" applyFont="1">
      <alignment horizontal="center" vertical="center"/>
    </xf>
    <xf borderId="6" fillId="2" fontId="0" numFmtId="0" xfId="0" applyAlignment="1" applyBorder="1" applyFont="1">
      <alignment horizontal="center" vertical="center"/>
    </xf>
    <xf borderId="6" fillId="8" fontId="0" numFmtId="0" xfId="0" applyAlignment="1" applyBorder="1" applyFont="1">
      <alignment horizontal="center"/>
    </xf>
    <xf borderId="10" fillId="0" fontId="0" numFmtId="0" xfId="0" applyAlignment="1" applyBorder="1" applyFont="1">
      <alignment vertical="center"/>
    </xf>
    <xf borderId="10" fillId="0" fontId="0" numFmtId="0" xfId="0" applyAlignment="1" applyBorder="1" applyFont="1">
      <alignment horizontal="center" vertical="center"/>
    </xf>
    <xf borderId="9" fillId="0" fontId="1" numFmtId="0" xfId="0" applyAlignment="1" applyBorder="1" applyFont="1">
      <alignment vertical="center"/>
    </xf>
    <xf borderId="9" fillId="11" fontId="3" numFmtId="0" xfId="0" applyAlignment="1" applyBorder="1" applyFont="1">
      <alignment horizontal="center" vertical="center"/>
    </xf>
    <xf borderId="11" fillId="8" fontId="0" numFmtId="0" xfId="0" applyAlignment="1" applyBorder="1" applyFont="1">
      <alignment horizontal="center" vertical="center"/>
    </xf>
    <xf borderId="24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76200</xdr:colOff>
      <xdr:row>17</xdr:row>
      <xdr:rowOff>0</xdr:rowOff>
    </xdr:from>
    <xdr:ext cx="1676400" cy="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190500</xdr:colOff>
      <xdr:row>14</xdr:row>
      <xdr:rowOff>47625</xdr:rowOff>
    </xdr:from>
    <xdr:ext cx="3438525" cy="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7.43"/>
    <col customWidth="1" min="3" max="3" width="12.29"/>
    <col customWidth="1" min="4" max="4" width="18.57"/>
    <col customWidth="1" min="5" max="5" width="5.0"/>
    <col customWidth="1" min="6" max="6" width="22.71"/>
    <col customWidth="1" min="7" max="7" width="12.86"/>
    <col customWidth="1" min="8" max="8" width="39.0"/>
    <col customWidth="1" min="9" max="9" width="5.14"/>
    <col customWidth="1" min="10" max="10" width="22.71"/>
    <col customWidth="1" min="11" max="11" width="12.86"/>
    <col customWidth="1" min="12" max="12" width="39.0"/>
    <col customWidth="1" min="13" max="13" width="9.86"/>
    <col customWidth="1" min="14" max="14" width="12.29"/>
    <col customWidth="1" min="15" max="15" width="23.86"/>
    <col customWidth="1" min="16" max="16" width="15.86"/>
    <col customWidth="1" min="17" max="17" width="41.0"/>
    <col customWidth="1" min="18" max="26" width="17.29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ht="15.75" customHeight="1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ht="15.75" customHeight="1">
      <c r="A3" s="1"/>
      <c r="B3" s="3" t="s">
        <v>0</v>
      </c>
      <c r="C3" s="4"/>
      <c r="D3" s="5"/>
      <c r="E3" s="1"/>
      <c r="F3" s="3" t="s">
        <v>1</v>
      </c>
      <c r="G3" s="4"/>
      <c r="H3" s="5"/>
      <c r="I3" s="1"/>
      <c r="J3" s="6" t="s">
        <v>2</v>
      </c>
      <c r="K3" s="7"/>
      <c r="L3" s="7"/>
      <c r="M3" s="7"/>
      <c r="N3" s="7"/>
      <c r="O3" s="8"/>
      <c r="P3" s="1"/>
      <c r="Q3" s="1"/>
    </row>
    <row r="4" ht="15.75" customHeight="1">
      <c r="A4" s="1"/>
      <c r="B4" s="9" t="s">
        <v>3</v>
      </c>
      <c r="C4" s="10">
        <v>10.0</v>
      </c>
      <c r="D4" s="9" t="s">
        <v>4</v>
      </c>
      <c r="E4" s="1"/>
      <c r="F4" s="12" t="s">
        <v>5</v>
      </c>
      <c r="G4" s="13"/>
      <c r="H4" s="14"/>
      <c r="I4" s="1"/>
      <c r="J4" s="12" t="s">
        <v>5</v>
      </c>
      <c r="K4" s="14"/>
      <c r="L4" s="14"/>
      <c r="M4" s="13"/>
      <c r="N4" s="14"/>
      <c r="O4" s="15"/>
      <c r="P4" s="1"/>
      <c r="Q4" s="1"/>
    </row>
    <row r="5">
      <c r="A5" s="1"/>
      <c r="B5" s="16" t="s">
        <v>6</v>
      </c>
      <c r="C5" s="10">
        <v>10.0</v>
      </c>
      <c r="D5" s="17"/>
      <c r="E5" s="1"/>
      <c r="F5" s="16" t="s">
        <v>7</v>
      </c>
      <c r="G5" s="18">
        <v>25.0</v>
      </c>
      <c r="H5" s="19"/>
      <c r="I5" s="1"/>
      <c r="J5" s="16" t="s">
        <v>7</v>
      </c>
      <c r="K5" s="20">
        <v>25.0</v>
      </c>
      <c r="L5" s="21"/>
      <c r="M5" s="22"/>
      <c r="N5" s="21"/>
      <c r="O5" s="23"/>
      <c r="P5" s="1"/>
      <c r="Q5" s="1"/>
    </row>
    <row r="6" ht="15.75" customHeight="1">
      <c r="A6" s="1"/>
      <c r="B6" s="16" t="s">
        <v>8</v>
      </c>
      <c r="C6" s="24">
        <f>C4/(1+C5/100)</f>
        <v>9.090909091</v>
      </c>
      <c r="D6" s="16" t="s">
        <v>9</v>
      </c>
      <c r="E6" s="1"/>
      <c r="F6" s="25" t="s">
        <v>10</v>
      </c>
      <c r="G6" s="26"/>
      <c r="H6" s="27"/>
      <c r="I6" s="1"/>
      <c r="J6" s="25" t="s">
        <v>10</v>
      </c>
      <c r="K6" s="27"/>
      <c r="L6" s="27"/>
      <c r="M6" s="26"/>
      <c r="N6" s="27"/>
      <c r="O6" s="28"/>
      <c r="P6" s="1"/>
      <c r="Q6" s="1"/>
    </row>
    <row r="7">
      <c r="A7" s="1"/>
      <c r="B7" s="16" t="s">
        <v>11</v>
      </c>
      <c r="C7" s="10" t="s">
        <v>12</v>
      </c>
      <c r="D7" s="17"/>
      <c r="E7" s="1"/>
      <c r="F7" s="16" t="s">
        <v>13</v>
      </c>
      <c r="G7" s="18">
        <v>40.599</v>
      </c>
      <c r="H7" s="19"/>
      <c r="I7" s="1"/>
      <c r="J7" s="16" t="s">
        <v>13</v>
      </c>
      <c r="K7" s="20">
        <v>45.4</v>
      </c>
      <c r="L7" s="21"/>
      <c r="M7" s="22"/>
      <c r="N7" s="21"/>
      <c r="O7" s="23"/>
      <c r="P7" s="1"/>
      <c r="Q7" s="1"/>
    </row>
    <row r="8">
      <c r="A8" s="1"/>
      <c r="B8" s="16" t="s">
        <v>14</v>
      </c>
      <c r="C8" s="10">
        <v>0.8</v>
      </c>
      <c r="D8" s="17"/>
      <c r="E8" s="1"/>
      <c r="F8" s="16" t="s">
        <v>15</v>
      </c>
      <c r="G8" s="18">
        <v>15.723</v>
      </c>
      <c r="H8" s="19"/>
      <c r="I8" s="1"/>
      <c r="J8" s="16" t="s">
        <v>15</v>
      </c>
      <c r="K8" s="20">
        <v>9.5</v>
      </c>
      <c r="L8" s="19"/>
      <c r="M8" s="1"/>
      <c r="N8" s="19"/>
      <c r="O8" s="29"/>
      <c r="P8" s="1"/>
      <c r="Q8" s="1"/>
    </row>
    <row r="9" ht="15.75" customHeight="1">
      <c r="A9" s="1"/>
      <c r="B9" s="16" t="s">
        <v>16</v>
      </c>
      <c r="C9" s="10">
        <v>2.0</v>
      </c>
      <c r="D9" s="16" t="s">
        <v>17</v>
      </c>
      <c r="E9" s="1"/>
      <c r="F9" s="16" t="s">
        <v>18</v>
      </c>
      <c r="G9" s="30">
        <f>G8-G5</f>
        <v>-9.277</v>
      </c>
      <c r="H9" s="19"/>
      <c r="I9" s="1"/>
      <c r="J9" s="16" t="s">
        <v>18</v>
      </c>
      <c r="K9" s="31">
        <f>K8-K5</f>
        <v>-15.5</v>
      </c>
      <c r="L9" s="19"/>
      <c r="M9" s="1"/>
      <c r="N9" s="19"/>
      <c r="O9" s="29"/>
      <c r="P9" s="1"/>
      <c r="Q9" s="1"/>
    </row>
    <row r="10" ht="15.75" customHeight="1">
      <c r="A10" s="1"/>
      <c r="B10" s="16" t="s">
        <v>19</v>
      </c>
      <c r="C10" s="24">
        <f>C6*C9*C8</f>
        <v>14.54545455</v>
      </c>
      <c r="D10" s="16" t="s">
        <v>20</v>
      </c>
      <c r="E10" s="1"/>
      <c r="F10" s="16" t="s">
        <v>21</v>
      </c>
      <c r="G10" s="30">
        <f>SQRT(35786^2*(1+0.42*(1-COS(RADIANS($G$7))*COS(RADIANS($G$8-$G$5)))))</f>
        <v>37622.5132</v>
      </c>
      <c r="H10" s="19"/>
      <c r="I10" s="1"/>
      <c r="J10" s="16" t="s">
        <v>21</v>
      </c>
      <c r="K10" s="31">
        <f>SQRT(35786^2*(1+0.42*(1-COS(RADIANS($K$7))*COS(RADIANS($K$8-$K$5)))))-M10</f>
        <v>38138.89912</v>
      </c>
      <c r="L10" s="32" t="s">
        <v>22</v>
      </c>
      <c r="M10" s="33">
        <v>0.0</v>
      </c>
      <c r="N10" s="31"/>
      <c r="O10" s="34"/>
      <c r="P10" s="1"/>
      <c r="Q10" s="1"/>
    </row>
    <row r="11">
      <c r="A11" s="1"/>
      <c r="B11" s="16" t="s">
        <v>23</v>
      </c>
      <c r="C11" s="24">
        <f>C10/C6</f>
        <v>1.6</v>
      </c>
      <c r="D11" s="16" t="s">
        <v>17</v>
      </c>
      <c r="E11" s="1"/>
      <c r="F11" s="16" t="s">
        <v>24</v>
      </c>
      <c r="G11" s="30">
        <f>180+(ATAN((TAN(G9*PI()/180))/(SIN(G7*PI()/180))))*180/PI()</f>
        <v>165.9095858</v>
      </c>
      <c r="H11" s="19"/>
      <c r="I11" s="1"/>
      <c r="J11" s="16" t="s">
        <v>24</v>
      </c>
      <c r="K11" s="31">
        <f>180+(ATAN((TAN(K9*PI()/180))/(SIN(K7*PI()/180))))*180/PI()</f>
        <v>158.7197572</v>
      </c>
      <c r="L11" s="19"/>
      <c r="M11" s="1"/>
      <c r="N11" s="19"/>
      <c r="O11" s="29"/>
      <c r="P11" s="1"/>
      <c r="Q11" s="1"/>
    </row>
    <row r="12">
      <c r="A12" s="1"/>
      <c r="B12" s="16"/>
      <c r="C12" s="24">
        <f>C10/C4</f>
        <v>1.454545455</v>
      </c>
      <c r="D12" s="16" t="s">
        <v>25</v>
      </c>
      <c r="E12" s="1"/>
      <c r="F12" s="16" t="s">
        <v>26</v>
      </c>
      <c r="G12" s="30">
        <f>(ATAN(((COS(G7*PI()/180)*COS(G9*PI()/180))-0.151)/(SQRT(1-((COS(G7*PI()/180)^2)*COS(G9*PI()/180)^2)))))/PI()*180</f>
        <v>42.1015751</v>
      </c>
      <c r="H12" s="19"/>
      <c r="I12" s="1"/>
      <c r="J12" s="16" t="s">
        <v>26</v>
      </c>
      <c r="K12" s="31">
        <f>(ATAN(((COS(K7*PI()/180)*COS(K9*PI()/180))-0.151)/(SQRT(1-((COS(K7*PI()/180)^2)*COS(K9*PI()/180)^2)))))/PI()*180</f>
        <v>35.52024755</v>
      </c>
      <c r="L12" s="19"/>
      <c r="M12" s="1"/>
      <c r="N12" s="19"/>
      <c r="O12" s="29"/>
      <c r="P12" s="1"/>
      <c r="Q12" s="1"/>
    </row>
    <row r="13" ht="15.75" customHeight="1">
      <c r="A13" s="1"/>
      <c r="B13" s="16" t="s">
        <v>27</v>
      </c>
      <c r="C13" s="24">
        <f>C6*C11</f>
        <v>14.54545455</v>
      </c>
      <c r="D13" s="16" t="s">
        <v>28</v>
      </c>
      <c r="E13" s="1"/>
      <c r="F13" s="25" t="s">
        <v>29</v>
      </c>
      <c r="G13" s="26"/>
      <c r="H13" s="27"/>
      <c r="I13" s="1"/>
      <c r="J13" s="25" t="s">
        <v>29</v>
      </c>
      <c r="K13" s="27"/>
      <c r="L13" s="27"/>
      <c r="M13" s="26"/>
      <c r="N13" s="27"/>
      <c r="O13" s="28"/>
      <c r="P13" s="1"/>
      <c r="Q13" s="1"/>
    </row>
    <row r="14" ht="15.75" customHeight="1">
      <c r="A14" s="1"/>
      <c r="B14" s="35" t="s">
        <v>30</v>
      </c>
      <c r="C14" s="36">
        <v>-2.05</v>
      </c>
      <c r="D14" s="37"/>
      <c r="E14" s="1"/>
      <c r="F14" s="16" t="s">
        <v>31</v>
      </c>
      <c r="G14" s="18">
        <v>47.85</v>
      </c>
      <c r="H14" s="19"/>
      <c r="I14" s="1"/>
      <c r="J14" s="16" t="s">
        <v>31</v>
      </c>
      <c r="K14" s="38">
        <v>37.85</v>
      </c>
      <c r="L14" s="9"/>
      <c r="M14" s="22"/>
      <c r="N14" s="21"/>
      <c r="O14" s="23"/>
      <c r="P14" s="1"/>
      <c r="Q14" s="1"/>
    </row>
    <row r="15">
      <c r="A15" s="1"/>
      <c r="B15" s="1"/>
      <c r="C15" s="1"/>
      <c r="D15" s="1"/>
      <c r="E15" s="1"/>
      <c r="F15" s="16" t="s">
        <v>32</v>
      </c>
      <c r="G15" s="30">
        <f>3/(G14*10)</f>
        <v>0.006269592476</v>
      </c>
      <c r="H15" s="16" t="s">
        <v>33</v>
      </c>
      <c r="I15" s="1"/>
      <c r="J15" s="16" t="s">
        <v>32</v>
      </c>
      <c r="K15" s="31">
        <f>3/(K14*10)</f>
        <v>0.007926023778</v>
      </c>
      <c r="L15" s="16" t="s">
        <v>33</v>
      </c>
      <c r="M15" s="1"/>
      <c r="N15" s="19"/>
      <c r="O15" s="29"/>
      <c r="P15" s="1"/>
      <c r="Q15" s="1"/>
    </row>
    <row r="16" ht="15.75" customHeight="1">
      <c r="A16" s="1"/>
      <c r="B16" s="1"/>
      <c r="C16" s="1"/>
      <c r="D16" s="1"/>
      <c r="E16" s="1"/>
      <c r="F16" s="25" t="s">
        <v>34</v>
      </c>
      <c r="G16" s="26"/>
      <c r="H16" s="25"/>
      <c r="I16" s="1"/>
      <c r="J16" s="25" t="s">
        <v>34</v>
      </c>
      <c r="K16" s="27"/>
      <c r="L16" s="25"/>
      <c r="M16" s="26"/>
      <c r="N16" s="27"/>
      <c r="O16" s="28"/>
      <c r="P16" s="1"/>
      <c r="Q16" s="1"/>
    </row>
    <row r="17" ht="15.75" customHeight="1">
      <c r="A17" s="1"/>
      <c r="B17" s="39" t="s">
        <v>35</v>
      </c>
      <c r="C17" s="40"/>
      <c r="D17" s="1"/>
      <c r="E17" s="1"/>
      <c r="F17" s="16" t="s">
        <v>36</v>
      </c>
      <c r="G17" s="18">
        <v>4.2</v>
      </c>
      <c r="H17" s="41" t="s">
        <v>37</v>
      </c>
      <c r="I17" s="1"/>
      <c r="J17" s="16" t="s">
        <v>36</v>
      </c>
      <c r="K17" s="18">
        <v>0.4</v>
      </c>
      <c r="L17" s="9" t="s">
        <v>38</v>
      </c>
      <c r="M17" s="22"/>
      <c r="N17" s="21"/>
      <c r="O17" s="23"/>
      <c r="P17" s="1"/>
      <c r="Q17" s="1"/>
    </row>
    <row r="18">
      <c r="A18" s="1"/>
      <c r="B18" s="42" t="s">
        <v>39</v>
      </c>
      <c r="C18" s="43"/>
      <c r="D18" s="1"/>
      <c r="E18" s="1"/>
      <c r="F18" s="16" t="s">
        <v>40</v>
      </c>
      <c r="G18" s="18">
        <v>39.5</v>
      </c>
      <c r="H18" s="16" t="s">
        <v>41</v>
      </c>
      <c r="I18" s="1"/>
      <c r="J18" s="16" t="s">
        <v>40</v>
      </c>
      <c r="K18" s="18">
        <v>55.0</v>
      </c>
      <c r="L18" s="16" t="s">
        <v>42</v>
      </c>
      <c r="M18" s="1"/>
      <c r="N18" s="19"/>
      <c r="O18" s="29"/>
      <c r="P18" s="1"/>
      <c r="Q18" s="1"/>
    </row>
    <row r="19" ht="15.75" customHeight="1">
      <c r="A19" s="1"/>
      <c r="B19" s="44" t="s">
        <v>43</v>
      </c>
      <c r="C19" s="45"/>
      <c r="D19" s="1"/>
      <c r="E19" s="1"/>
      <c r="F19" s="16" t="s">
        <v>44</v>
      </c>
      <c r="G19" s="30">
        <f>10*LOG10(($G$18/100)*(PI()*$G$17/$G$15)^2)</f>
        <v>62.42916797</v>
      </c>
      <c r="H19" s="16" t="s">
        <v>45</v>
      </c>
      <c r="I19" s="1"/>
      <c r="J19" s="16" t="s">
        <v>44</v>
      </c>
      <c r="K19" s="30">
        <f>10*LOG10(($K$18/100)*(PI()*$K$17/$K$15)^2)</f>
        <v>41.40671676</v>
      </c>
      <c r="L19" s="16" t="s">
        <v>46</v>
      </c>
      <c r="M19" s="1"/>
      <c r="N19" s="19"/>
      <c r="O19" s="29"/>
      <c r="P19" s="1"/>
      <c r="Q19" s="1"/>
    </row>
    <row r="20" ht="15.75" customHeight="1">
      <c r="A20" s="1"/>
      <c r="B20" s="1"/>
      <c r="C20" s="1"/>
      <c r="D20" s="1"/>
      <c r="E20" s="1"/>
      <c r="F20" s="25" t="s">
        <v>47</v>
      </c>
      <c r="G20" s="26"/>
      <c r="H20" s="25"/>
      <c r="I20" s="1"/>
      <c r="J20" s="25" t="s">
        <v>48</v>
      </c>
      <c r="K20" s="26"/>
      <c r="L20" s="25"/>
      <c r="M20" s="26"/>
      <c r="N20" s="27"/>
      <c r="O20" s="28"/>
      <c r="P20" s="1"/>
      <c r="Q20" s="1"/>
    </row>
    <row r="21" ht="15.75" customHeight="1">
      <c r="A21" s="1"/>
      <c r="B21" s="1"/>
      <c r="C21" s="1"/>
      <c r="D21" s="1"/>
      <c r="E21" s="1"/>
      <c r="F21" s="16" t="s">
        <v>49</v>
      </c>
      <c r="G21" s="18">
        <v>0.0</v>
      </c>
      <c r="H21" s="16" t="s">
        <v>50</v>
      </c>
      <c r="I21" s="1"/>
      <c r="J21" s="16" t="s">
        <v>51</v>
      </c>
      <c r="K21" s="18">
        <v>280.0</v>
      </c>
      <c r="L21" s="16" t="s">
        <v>52</v>
      </c>
      <c r="M21" s="42" t="s">
        <v>53</v>
      </c>
      <c r="N21" s="20">
        <v>30.0</v>
      </c>
      <c r="O21" s="46" t="s">
        <v>54</v>
      </c>
      <c r="P21" s="1"/>
      <c r="Q21" s="1"/>
    </row>
    <row r="22" ht="15.75" customHeight="1">
      <c r="A22" s="1"/>
      <c r="B22" s="1"/>
      <c r="C22" s="1"/>
      <c r="D22" s="1"/>
      <c r="E22" s="1"/>
      <c r="F22" s="16" t="s">
        <v>55</v>
      </c>
      <c r="G22" s="18">
        <v>1.0</v>
      </c>
      <c r="H22" s="16" t="s">
        <v>56</v>
      </c>
      <c r="I22" s="1"/>
      <c r="J22" s="16" t="s">
        <v>57</v>
      </c>
      <c r="K22" s="18">
        <v>290.0</v>
      </c>
      <c r="L22" s="16" t="s">
        <v>58</v>
      </c>
      <c r="M22" s="42" t="s">
        <v>59</v>
      </c>
      <c r="N22" s="20">
        <v>0.7</v>
      </c>
      <c r="O22" s="46" t="s">
        <v>60</v>
      </c>
      <c r="P22" s="1"/>
      <c r="Q22" s="1"/>
    </row>
    <row r="23" ht="15.75" customHeight="1">
      <c r="A23" s="1"/>
      <c r="B23" s="1"/>
      <c r="C23" s="1"/>
      <c r="D23" s="1"/>
      <c r="E23" s="1"/>
      <c r="F23" s="16" t="s">
        <v>61</v>
      </c>
      <c r="G23" s="18">
        <v>1.6</v>
      </c>
      <c r="H23" s="16" t="s">
        <v>62</v>
      </c>
      <c r="I23" s="1"/>
      <c r="J23" s="16" t="s">
        <v>63</v>
      </c>
      <c r="K23" s="18">
        <v>3.0</v>
      </c>
      <c r="L23" s="16" t="s">
        <v>64</v>
      </c>
      <c r="M23" s="42" t="s">
        <v>65</v>
      </c>
      <c r="N23" s="31">
        <f>2.7/10^($N$22/10)+$K$21*(1-1/10^($N$22/10))</f>
        <v>43.97942201</v>
      </c>
      <c r="O23" s="46" t="s">
        <v>66</v>
      </c>
      <c r="P23" s="1"/>
      <c r="Q23" s="1"/>
    </row>
    <row r="24" ht="15.75" customHeight="1">
      <c r="A24" s="1"/>
      <c r="B24" s="1"/>
      <c r="C24" s="1"/>
      <c r="D24" s="1"/>
      <c r="E24" s="1"/>
      <c r="F24" s="16" t="s">
        <v>67</v>
      </c>
      <c r="G24" s="30">
        <f>20*LOG10(4*PI()*$G$10*1000/$G$15)</f>
        <v>217.5483671</v>
      </c>
      <c r="H24" s="16" t="s">
        <v>68</v>
      </c>
      <c r="I24" s="1"/>
      <c r="J24" s="16" t="s">
        <v>69</v>
      </c>
      <c r="K24" s="30">
        <f>290*(10^(K23/10)-1)</f>
        <v>288.6260713</v>
      </c>
      <c r="L24" s="16" t="s">
        <v>70</v>
      </c>
      <c r="M24" s="42" t="s">
        <v>71</v>
      </c>
      <c r="N24" s="31">
        <f>N23+N21</f>
        <v>73.97942201</v>
      </c>
      <c r="O24" s="46" t="s">
        <v>72</v>
      </c>
      <c r="P24" s="1"/>
      <c r="Q24" s="1"/>
    </row>
    <row r="25" ht="15.75" customHeight="1">
      <c r="A25" s="1"/>
      <c r="B25" s="1"/>
      <c r="C25" s="1"/>
      <c r="D25" s="1"/>
      <c r="E25" s="1"/>
      <c r="F25" s="25" t="s">
        <v>73</v>
      </c>
      <c r="G25" s="26"/>
      <c r="H25" s="25"/>
      <c r="I25" s="1"/>
      <c r="J25" s="16" t="s">
        <v>49</v>
      </c>
      <c r="K25" s="18">
        <v>0.5</v>
      </c>
      <c r="L25" s="16" t="s">
        <v>74</v>
      </c>
      <c r="M25" s="42" t="s">
        <v>75</v>
      </c>
      <c r="N25" s="31">
        <f>$N$24/10^($K$25/10)+$K$22*(1-1/10^($K$25/10))+$K$24</f>
        <v>386.0975285</v>
      </c>
      <c r="O25" s="46" t="s">
        <v>76</v>
      </c>
      <c r="P25" s="1"/>
      <c r="Q25" s="1"/>
    </row>
    <row r="26" ht="15.75" customHeight="1">
      <c r="A26" s="1"/>
      <c r="B26" s="1"/>
      <c r="C26" s="1"/>
      <c r="D26" s="1"/>
      <c r="E26" s="1"/>
      <c r="F26" s="16" t="s">
        <v>77</v>
      </c>
      <c r="G26" s="18">
        <v>14.91</v>
      </c>
      <c r="H26" s="16" t="s">
        <v>78</v>
      </c>
      <c r="I26" s="1"/>
      <c r="J26" s="16" t="s">
        <v>79</v>
      </c>
      <c r="K26" s="18">
        <v>1.0</v>
      </c>
      <c r="L26" s="16" t="s">
        <v>80</v>
      </c>
      <c r="M26" s="42" t="s">
        <v>81</v>
      </c>
      <c r="N26" s="31">
        <f>20*LOG10(4*PI()*$K$10*1000/K15)</f>
        <v>215.6304529</v>
      </c>
      <c r="O26" s="46" t="s">
        <v>82</v>
      </c>
      <c r="P26" s="1"/>
      <c r="Q26" s="1"/>
    </row>
    <row r="27" ht="15.75" customHeight="1">
      <c r="A27" s="1"/>
      <c r="B27" s="1"/>
      <c r="C27" s="1"/>
      <c r="D27" s="1"/>
      <c r="E27" s="1"/>
      <c r="F27" s="16" t="s">
        <v>83</v>
      </c>
      <c r="G27" s="30">
        <f>G26+G19-G21-G22</f>
        <v>76.33916797</v>
      </c>
      <c r="H27" s="17"/>
      <c r="I27" s="1"/>
      <c r="J27" s="25" t="s">
        <v>84</v>
      </c>
      <c r="K27" s="26"/>
      <c r="L27" s="25"/>
      <c r="M27" s="47"/>
      <c r="N27" s="27"/>
      <c r="O27" s="28"/>
      <c r="P27" s="1"/>
      <c r="Q27" s="1"/>
    </row>
    <row r="28" ht="15.75" customHeight="1">
      <c r="A28" s="1"/>
      <c r="B28" s="1"/>
      <c r="C28" s="1"/>
      <c r="D28" s="1"/>
      <c r="E28" s="1"/>
      <c r="F28" s="16" t="s">
        <v>85</v>
      </c>
      <c r="G28" s="30">
        <f>G27-$G$24-$G$23</f>
        <v>-142.8091991</v>
      </c>
      <c r="H28" s="16" t="s">
        <v>86</v>
      </c>
      <c r="I28" s="1"/>
      <c r="J28" s="16" t="s">
        <v>87</v>
      </c>
      <c r="K28" s="18">
        <v>69.0</v>
      </c>
      <c r="L28" s="17"/>
      <c r="M28" s="48"/>
      <c r="N28" s="19"/>
      <c r="O28" s="29"/>
      <c r="P28" s="1"/>
      <c r="Q28" s="1"/>
    </row>
    <row r="29" ht="15.75" customHeight="1">
      <c r="A29" s="1"/>
      <c r="B29" s="1"/>
      <c r="C29" s="1"/>
      <c r="D29" s="1"/>
      <c r="E29" s="1"/>
      <c r="F29" s="16" t="s">
        <v>88</v>
      </c>
      <c r="G29" s="18">
        <v>4.4</v>
      </c>
      <c r="H29" s="16" t="s">
        <v>89</v>
      </c>
      <c r="I29" s="1"/>
      <c r="J29" s="16" t="s">
        <v>88</v>
      </c>
      <c r="K29" s="30">
        <f>K19-K26-K25-10*LOG(N25)</f>
        <v>14.03974654</v>
      </c>
      <c r="L29" s="16" t="s">
        <v>90</v>
      </c>
      <c r="M29" s="48"/>
      <c r="N29" s="19"/>
      <c r="O29" s="29"/>
      <c r="P29" s="1"/>
      <c r="Q29" s="1"/>
    </row>
    <row r="30" ht="15.75" customHeight="1">
      <c r="A30" s="1"/>
      <c r="B30" s="1"/>
      <c r="C30" s="1"/>
      <c r="D30" s="1"/>
      <c r="E30" s="1"/>
      <c r="F30" s="25" t="s">
        <v>91</v>
      </c>
      <c r="G30" s="26"/>
      <c r="H30" s="25"/>
      <c r="I30" s="1"/>
      <c r="J30" s="16"/>
      <c r="K30" s="30"/>
      <c r="L30" s="17"/>
      <c r="M30" s="48"/>
      <c r="N30" s="19"/>
      <c r="O30" s="29"/>
      <c r="P30" s="1"/>
      <c r="Q30" s="1"/>
    </row>
    <row r="31" ht="15.75" customHeight="1">
      <c r="A31" s="1"/>
      <c r="B31" s="1"/>
      <c r="C31" s="1"/>
      <c r="D31" s="1"/>
      <c r="E31" s="1"/>
      <c r="F31" s="16" t="s">
        <v>92</v>
      </c>
      <c r="G31" s="18">
        <v>30.0</v>
      </c>
      <c r="H31" s="16" t="s">
        <v>93</v>
      </c>
      <c r="I31" s="1"/>
      <c r="J31" s="16" t="s">
        <v>92</v>
      </c>
      <c r="K31" s="18">
        <v>18.0</v>
      </c>
      <c r="L31" s="16" t="s">
        <v>94</v>
      </c>
      <c r="M31" s="48"/>
      <c r="N31" s="19"/>
      <c r="O31" s="29"/>
      <c r="P31" s="1"/>
      <c r="Q31" s="1"/>
    </row>
    <row r="32" ht="15.75" customHeight="1">
      <c r="A32" s="1"/>
      <c r="B32" s="1"/>
      <c r="C32" s="1"/>
      <c r="D32" s="1"/>
      <c r="E32" s="1"/>
      <c r="F32" s="16" t="s">
        <v>95</v>
      </c>
      <c r="G32" s="18">
        <v>23.0</v>
      </c>
      <c r="H32" s="16" t="s">
        <v>96</v>
      </c>
      <c r="I32" s="1"/>
      <c r="J32" s="16" t="s">
        <v>95</v>
      </c>
      <c r="K32" s="18">
        <v>21.0</v>
      </c>
      <c r="L32" s="16" t="s">
        <v>97</v>
      </c>
      <c r="M32" s="48"/>
      <c r="N32" s="19"/>
      <c r="O32" s="29"/>
      <c r="P32" s="1"/>
      <c r="Q32" s="1"/>
    </row>
    <row r="33" ht="15.75" customHeight="1">
      <c r="A33" s="1"/>
      <c r="B33" s="1"/>
      <c r="C33" s="1"/>
      <c r="D33" s="1"/>
      <c r="E33" s="1"/>
      <c r="F33" s="16" t="s">
        <v>98</v>
      </c>
      <c r="G33" s="30">
        <f>G27-G23-(10*LOG10(4*PI()*($G$10*1000)^2))</f>
        <v>-87.76188674</v>
      </c>
      <c r="H33" s="16" t="s">
        <v>99</v>
      </c>
      <c r="I33" s="1"/>
      <c r="J33" s="16" t="s">
        <v>98</v>
      </c>
      <c r="K33" s="30">
        <f>K28-N22-(10*LOG10(4*PI()*($K$10*1000)^2))</f>
        <v>-94.3194617</v>
      </c>
      <c r="L33" s="16" t="s">
        <v>100</v>
      </c>
      <c r="M33" s="48"/>
      <c r="N33" s="19"/>
      <c r="O33" s="29"/>
      <c r="P33" s="1"/>
      <c r="Q33" s="1"/>
    </row>
    <row r="34" ht="15.75" customHeight="1">
      <c r="A34" s="1"/>
      <c r="B34" s="1"/>
      <c r="C34" s="1"/>
      <c r="D34" s="1"/>
      <c r="E34" s="1"/>
      <c r="F34" s="16" t="s">
        <v>101</v>
      </c>
      <c r="G34" s="30">
        <f>G27-G23-G24+G29-(10*LOG10(1.38*10^-23))</f>
        <v>90.19201001</v>
      </c>
      <c r="H34" s="16" t="s">
        <v>102</v>
      </c>
      <c r="I34" s="1"/>
      <c r="J34" s="16" t="s">
        <v>101</v>
      </c>
      <c r="K34" s="30">
        <f>$K$28-30-$N$26-$N$22+$K$29-(10*LOG10(1.38*10^-23))</f>
        <v>65.31050276</v>
      </c>
      <c r="L34" s="16" t="s">
        <v>103</v>
      </c>
      <c r="M34" s="48"/>
      <c r="N34" s="19"/>
      <c r="O34" s="29"/>
      <c r="P34" s="1"/>
      <c r="Q34" s="1"/>
    </row>
    <row r="35" ht="15.75" customHeight="1">
      <c r="A35" s="1"/>
      <c r="B35" s="1"/>
      <c r="C35" s="1"/>
      <c r="D35" s="1"/>
      <c r="E35" s="1"/>
      <c r="F35" s="16" t="s">
        <v>104</v>
      </c>
      <c r="G35" s="30">
        <f>G34-10*LOG10($C$6*10^6)</f>
        <v>20.60593686</v>
      </c>
      <c r="H35" s="16" t="s">
        <v>105</v>
      </c>
      <c r="I35" s="1"/>
      <c r="J35" s="16" t="s">
        <v>104</v>
      </c>
      <c r="K35" s="30">
        <f>$K$28-30-$N$26-$N$22+$K$29-(10*LOG10(1.38*10^-23*$C$6*10^6))</f>
        <v>-4.275570393</v>
      </c>
      <c r="L35" s="16" t="s">
        <v>106</v>
      </c>
      <c r="M35" s="48"/>
      <c r="N35" s="19"/>
      <c r="O35" s="29"/>
      <c r="P35" s="1"/>
      <c r="Q35" s="1"/>
    </row>
    <row r="36" ht="15.75" customHeight="1">
      <c r="A36" s="1"/>
      <c r="B36" s="1"/>
      <c r="C36" s="1"/>
      <c r="D36" s="1"/>
      <c r="E36" s="1"/>
      <c r="F36" s="16" t="s">
        <v>107</v>
      </c>
      <c r="G36" s="30">
        <f>10*LOG10(1/((1/(10^(G35/10)))+(1/(10^(G31/10)))+(1/(10^(G32/10)))))</f>
        <v>18.32398836</v>
      </c>
      <c r="H36" s="19"/>
      <c r="I36" s="1"/>
      <c r="J36" s="16" t="s">
        <v>107</v>
      </c>
      <c r="K36" s="30">
        <f>10*LOG10(1/((1/10^(K35/10))+(1/10^(K31/10))+(1/10^(K32/10))))</f>
        <v>-4.314006458</v>
      </c>
      <c r="L36" s="19"/>
      <c r="M36" s="48"/>
      <c r="N36" s="19"/>
      <c r="O36" s="29"/>
      <c r="P36" s="1"/>
      <c r="Q36" s="1"/>
    </row>
    <row r="37" ht="15.75" customHeight="1">
      <c r="A37" s="1"/>
      <c r="B37" s="1"/>
      <c r="C37" s="1"/>
      <c r="D37" s="1"/>
      <c r="E37" s="1"/>
      <c r="F37" s="35" t="s">
        <v>108</v>
      </c>
      <c r="G37" s="50">
        <f>10*LOG10(1/((1/(10^(G34/10)))+(1/(10^(G31/10)))+(1/(10^(G32/10)))))</f>
        <v>22.20990181</v>
      </c>
      <c r="H37" s="51"/>
      <c r="I37" s="1"/>
      <c r="J37" s="35" t="s">
        <v>108</v>
      </c>
      <c r="K37" s="50">
        <f>10*LOG10(1/((1/10^(K34/10))+(1/10^(K31/10))+(1/10^(K32/10))))</f>
        <v>16.23559764</v>
      </c>
      <c r="L37" s="51"/>
      <c r="M37" s="52"/>
      <c r="N37" s="51"/>
      <c r="O37" s="53"/>
      <c r="P37" s="1"/>
      <c r="Q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1"/>
      <c r="B39" s="1"/>
      <c r="C39" s="1"/>
      <c r="D39" s="1"/>
      <c r="E39" s="1"/>
      <c r="F39" s="1"/>
      <c r="G39" s="1"/>
      <c r="H39" s="54" t="s">
        <v>109</v>
      </c>
      <c r="I39" s="55">
        <f>10*LOG10(1/((1/10^(G36/10))+(1/10^(K36/10))))</f>
        <v>-4.337600621</v>
      </c>
      <c r="J39" s="56"/>
      <c r="K39" s="57"/>
      <c r="L39" s="1"/>
      <c r="M39" s="1"/>
      <c r="N39" s="1"/>
      <c r="O39" s="1"/>
      <c r="P39" s="1"/>
      <c r="Q39" s="1"/>
    </row>
    <row r="40" ht="15.75" customHeight="1">
      <c r="A40" s="1"/>
      <c r="B40" s="1"/>
      <c r="C40" s="1"/>
      <c r="D40" s="1"/>
      <c r="E40" s="1"/>
      <c r="F40" s="1"/>
      <c r="G40" s="1"/>
      <c r="H40" s="58"/>
      <c r="I40" s="59"/>
      <c r="J40" s="60"/>
      <c r="K40" s="61"/>
      <c r="L40" s="1"/>
      <c r="M40" s="1"/>
      <c r="N40" s="1"/>
      <c r="O40" s="1"/>
      <c r="P40" s="1"/>
      <c r="Q40" s="1"/>
    </row>
    <row r="41" ht="15.75" customHeight="1">
      <c r="A41" s="1"/>
      <c r="B41" s="1"/>
      <c r="C41" s="1"/>
      <c r="D41" s="1"/>
      <c r="E41" s="1"/>
      <c r="F41" s="1"/>
      <c r="G41" s="1"/>
      <c r="H41" s="54" t="s">
        <v>110</v>
      </c>
      <c r="I41" s="55">
        <f>I39-C14</f>
        <v>-2.287600621</v>
      </c>
      <c r="J41" s="56"/>
      <c r="K41" s="57"/>
      <c r="L41" s="1"/>
      <c r="M41" s="1"/>
      <c r="N41" s="1"/>
      <c r="O41" s="1"/>
      <c r="P41" s="1"/>
      <c r="Q41" s="1"/>
    </row>
    <row r="42" ht="15.75" customHeight="1">
      <c r="A42" s="1"/>
      <c r="B42" s="1"/>
      <c r="C42" s="1"/>
      <c r="D42" s="1"/>
      <c r="E42" s="1"/>
      <c r="F42" s="1"/>
      <c r="G42" s="1"/>
      <c r="H42" s="58"/>
      <c r="I42" s="59"/>
      <c r="J42" s="60"/>
      <c r="K42" s="61"/>
      <c r="L42" s="1"/>
      <c r="M42" s="1"/>
      <c r="N42" s="1"/>
      <c r="O42" s="1"/>
      <c r="P42" s="1"/>
      <c r="Q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H39:H40"/>
    <mergeCell ref="I39:K40"/>
    <mergeCell ref="H41:H42"/>
    <mergeCell ref="I41:K4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7.43"/>
    <col customWidth="1" min="3" max="3" width="12.29"/>
    <col customWidth="1" min="4" max="4" width="18.57"/>
    <col customWidth="1" min="5" max="5" width="5.0"/>
    <col customWidth="1" min="6" max="6" width="22.71"/>
    <col customWidth="1" min="7" max="7" width="12.86"/>
    <col customWidth="1" min="8" max="8" width="39.0"/>
    <col customWidth="1" min="9" max="9" width="5.14"/>
    <col customWidth="1" min="10" max="10" width="22.71"/>
    <col customWidth="1" min="11" max="11" width="12.86"/>
    <col customWidth="1" min="12" max="12" width="39.0"/>
    <col customWidth="1" min="13" max="13" width="9.86"/>
    <col customWidth="1" min="14" max="14" width="12.29"/>
    <col customWidth="1" min="15" max="15" width="23.86"/>
    <col customWidth="1" min="16" max="16" width="15.86"/>
    <col customWidth="1" min="17" max="17" width="41.0"/>
    <col customWidth="1" min="18" max="26" width="17.29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ht="15.75" customHeight="1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ht="15.75" customHeight="1">
      <c r="A3" s="1"/>
      <c r="B3" s="3" t="s">
        <v>0</v>
      </c>
      <c r="C3" s="4"/>
      <c r="D3" s="5"/>
      <c r="E3" s="1"/>
      <c r="F3" s="3" t="s">
        <v>1</v>
      </c>
      <c r="G3" s="4"/>
      <c r="H3" s="5"/>
      <c r="I3" s="1"/>
      <c r="J3" s="6" t="s">
        <v>2</v>
      </c>
      <c r="K3" s="7"/>
      <c r="L3" s="7"/>
      <c r="M3" s="7"/>
      <c r="N3" s="7"/>
      <c r="O3" s="8"/>
      <c r="P3" s="1"/>
      <c r="Q3" s="1"/>
    </row>
    <row r="4" ht="15.75" customHeight="1">
      <c r="A4" s="1"/>
      <c r="B4" s="9" t="s">
        <v>3</v>
      </c>
      <c r="C4" s="11">
        <v>0.9</v>
      </c>
      <c r="D4" s="9" t="s">
        <v>4</v>
      </c>
      <c r="E4" s="1"/>
      <c r="F4" s="12" t="s">
        <v>5</v>
      </c>
      <c r="G4" s="13"/>
      <c r="H4" s="14"/>
      <c r="I4" s="1"/>
      <c r="J4" s="12" t="s">
        <v>5</v>
      </c>
      <c r="K4" s="14"/>
      <c r="L4" s="14"/>
      <c r="M4" s="13"/>
      <c r="N4" s="14"/>
      <c r="O4" s="15"/>
      <c r="P4" s="1"/>
      <c r="Q4" s="1"/>
    </row>
    <row r="5">
      <c r="A5" s="1"/>
      <c r="B5" s="16" t="s">
        <v>6</v>
      </c>
      <c r="C5" s="10">
        <v>10.0</v>
      </c>
      <c r="D5" s="17"/>
      <c r="E5" s="1"/>
      <c r="F5" s="16" t="s">
        <v>7</v>
      </c>
      <c r="G5" s="18">
        <v>25.0</v>
      </c>
      <c r="H5" s="19"/>
      <c r="I5" s="1"/>
      <c r="J5" s="16" t="s">
        <v>7</v>
      </c>
      <c r="K5" s="20">
        <v>25.0</v>
      </c>
      <c r="L5" s="21"/>
      <c r="M5" s="22"/>
      <c r="N5" s="21"/>
      <c r="O5" s="23"/>
      <c r="P5" s="1"/>
      <c r="Q5" s="1"/>
    </row>
    <row r="6" ht="15.75" customHeight="1">
      <c r="A6" s="1"/>
      <c r="B6" s="16" t="s">
        <v>8</v>
      </c>
      <c r="C6" s="24">
        <f>C4/(1+C5/100)</f>
        <v>0.8181818182</v>
      </c>
      <c r="D6" s="16" t="s">
        <v>9</v>
      </c>
      <c r="E6" s="1"/>
      <c r="F6" s="25" t="s">
        <v>10</v>
      </c>
      <c r="G6" s="26"/>
      <c r="H6" s="27"/>
      <c r="I6" s="1"/>
      <c r="J6" s="25" t="s">
        <v>10</v>
      </c>
      <c r="K6" s="27"/>
      <c r="L6" s="27"/>
      <c r="M6" s="26"/>
      <c r="N6" s="27"/>
      <c r="O6" s="28"/>
      <c r="P6" s="1"/>
      <c r="Q6" s="1"/>
    </row>
    <row r="7">
      <c r="A7" s="1"/>
      <c r="B7" s="16" t="s">
        <v>11</v>
      </c>
      <c r="C7" s="10" t="s">
        <v>12</v>
      </c>
      <c r="D7" s="17"/>
      <c r="E7" s="1"/>
      <c r="F7" s="16" t="s">
        <v>13</v>
      </c>
      <c r="G7" s="18">
        <v>40.599</v>
      </c>
      <c r="H7" s="19"/>
      <c r="I7" s="1"/>
      <c r="J7" s="16" t="s">
        <v>13</v>
      </c>
      <c r="K7" s="20">
        <v>45.4</v>
      </c>
      <c r="L7" s="21"/>
      <c r="M7" s="22"/>
      <c r="N7" s="21"/>
      <c r="O7" s="23"/>
      <c r="P7" s="1"/>
      <c r="Q7" s="1"/>
    </row>
    <row r="8">
      <c r="A8" s="1"/>
      <c r="B8" s="16" t="s">
        <v>14</v>
      </c>
      <c r="C8" s="10">
        <v>0.8</v>
      </c>
      <c r="D8" s="17"/>
      <c r="E8" s="1"/>
      <c r="F8" s="16" t="s">
        <v>15</v>
      </c>
      <c r="G8" s="18">
        <v>15.723</v>
      </c>
      <c r="H8" s="19"/>
      <c r="I8" s="1"/>
      <c r="J8" s="16" t="s">
        <v>15</v>
      </c>
      <c r="K8" s="20">
        <v>9.5</v>
      </c>
      <c r="L8" s="19"/>
      <c r="M8" s="1"/>
      <c r="N8" s="19"/>
      <c r="O8" s="29"/>
      <c r="P8" s="1"/>
      <c r="Q8" s="1"/>
    </row>
    <row r="9" ht="15.75" customHeight="1">
      <c r="A9" s="1"/>
      <c r="B9" s="16" t="s">
        <v>16</v>
      </c>
      <c r="C9" s="10">
        <v>2.0</v>
      </c>
      <c r="D9" s="16" t="s">
        <v>17</v>
      </c>
      <c r="E9" s="1"/>
      <c r="F9" s="16" t="s">
        <v>18</v>
      </c>
      <c r="G9" s="30">
        <f>G8-G5</f>
        <v>-9.277</v>
      </c>
      <c r="H9" s="19"/>
      <c r="I9" s="1"/>
      <c r="J9" s="16" t="s">
        <v>18</v>
      </c>
      <c r="K9" s="31">
        <f>K8-K5</f>
        <v>-15.5</v>
      </c>
      <c r="L9" s="19"/>
      <c r="M9" s="1"/>
      <c r="N9" s="19"/>
      <c r="O9" s="29"/>
      <c r="P9" s="1"/>
      <c r="Q9" s="1"/>
    </row>
    <row r="10" ht="15.75" customHeight="1">
      <c r="A10" s="1"/>
      <c r="B10" s="16" t="s">
        <v>19</v>
      </c>
      <c r="C10" s="24">
        <f>C6*C9*C8</f>
        <v>1.309090909</v>
      </c>
      <c r="D10" s="16" t="s">
        <v>20</v>
      </c>
      <c r="E10" s="1"/>
      <c r="F10" s="16" t="s">
        <v>21</v>
      </c>
      <c r="G10" s="30">
        <f>SQRT(35786^2*(1+0.42*(1-COS(RADIANS($G$7))*COS(RADIANS($G$8-$G$5)))))</f>
        <v>37622.5132</v>
      </c>
      <c r="H10" s="19"/>
      <c r="I10" s="1"/>
      <c r="J10" s="16" t="s">
        <v>21</v>
      </c>
      <c r="K10" s="31">
        <f>SQRT(35786^2*(1+0.42*(1-COS(RADIANS($K$7))*COS(RADIANS($K$8-$K$5)))))-M10</f>
        <v>38138.89912</v>
      </c>
      <c r="L10" s="32" t="s">
        <v>22</v>
      </c>
      <c r="M10" s="33">
        <v>0.0</v>
      </c>
      <c r="N10" s="31"/>
      <c r="O10" s="34"/>
      <c r="P10" s="1"/>
      <c r="Q10" s="1"/>
    </row>
    <row r="11">
      <c r="A11" s="1"/>
      <c r="B11" s="16" t="s">
        <v>23</v>
      </c>
      <c r="C11" s="24">
        <f>C10/C6</f>
        <v>1.6</v>
      </c>
      <c r="D11" s="16" t="s">
        <v>17</v>
      </c>
      <c r="E11" s="1"/>
      <c r="F11" s="16" t="s">
        <v>24</v>
      </c>
      <c r="G11" s="30">
        <f>180+(ATAN((TAN(G9*PI()/180))/(SIN(G7*PI()/180))))*180/PI()</f>
        <v>165.9095858</v>
      </c>
      <c r="H11" s="19"/>
      <c r="I11" s="1"/>
      <c r="J11" s="16" t="s">
        <v>24</v>
      </c>
      <c r="K11" s="31">
        <f>180+(ATAN((TAN(K9*PI()/180))/(SIN(K7*PI()/180))))*180/PI()</f>
        <v>158.7197572</v>
      </c>
      <c r="L11" s="19"/>
      <c r="M11" s="1"/>
      <c r="N11" s="19"/>
      <c r="O11" s="29"/>
      <c r="P11" s="1"/>
      <c r="Q11" s="1"/>
    </row>
    <row r="12">
      <c r="A12" s="1"/>
      <c r="B12" s="16"/>
      <c r="C12" s="24">
        <f>C10/C4</f>
        <v>1.454545455</v>
      </c>
      <c r="D12" s="16" t="s">
        <v>25</v>
      </c>
      <c r="E12" s="1"/>
      <c r="F12" s="16" t="s">
        <v>26</v>
      </c>
      <c r="G12" s="30">
        <f>(ATAN(((COS(G7*PI()/180)*COS(G9*PI()/180))-0.151)/(SQRT(1-((COS(G7*PI()/180)^2)*COS(G9*PI()/180)^2)))))/PI()*180</f>
        <v>42.1015751</v>
      </c>
      <c r="H12" s="19"/>
      <c r="I12" s="1"/>
      <c r="J12" s="16" t="s">
        <v>26</v>
      </c>
      <c r="K12" s="31">
        <f>(ATAN(((COS(K7*PI()/180)*COS(K9*PI()/180))-0.151)/(SQRT(1-((COS(K7*PI()/180)^2)*COS(K9*PI()/180)^2)))))/PI()*180</f>
        <v>35.52024755</v>
      </c>
      <c r="L12" s="19"/>
      <c r="M12" s="1"/>
      <c r="N12" s="19"/>
      <c r="O12" s="29"/>
      <c r="P12" s="1"/>
      <c r="Q12" s="1"/>
    </row>
    <row r="13" ht="15.75" customHeight="1">
      <c r="A13" s="1"/>
      <c r="B13" s="16" t="s">
        <v>27</v>
      </c>
      <c r="C13" s="24">
        <f>C6*C11</f>
        <v>1.309090909</v>
      </c>
      <c r="D13" s="16" t="s">
        <v>28</v>
      </c>
      <c r="E13" s="1"/>
      <c r="F13" s="25" t="s">
        <v>29</v>
      </c>
      <c r="G13" s="26"/>
      <c r="H13" s="27"/>
      <c r="I13" s="1"/>
      <c r="J13" s="25" t="s">
        <v>29</v>
      </c>
      <c r="K13" s="27"/>
      <c r="L13" s="27"/>
      <c r="M13" s="26"/>
      <c r="N13" s="27"/>
      <c r="O13" s="28"/>
      <c r="P13" s="1"/>
      <c r="Q13" s="1"/>
    </row>
    <row r="14" ht="15.75" customHeight="1">
      <c r="A14" s="1"/>
      <c r="B14" s="35" t="s">
        <v>30</v>
      </c>
      <c r="C14" s="36">
        <v>-2.05</v>
      </c>
      <c r="D14" s="37"/>
      <c r="E14" s="1"/>
      <c r="F14" s="16" t="s">
        <v>31</v>
      </c>
      <c r="G14" s="18">
        <v>47.85</v>
      </c>
      <c r="H14" s="19"/>
      <c r="I14" s="1"/>
      <c r="J14" s="16" t="s">
        <v>31</v>
      </c>
      <c r="K14" s="38">
        <v>37.85</v>
      </c>
      <c r="L14" s="9"/>
      <c r="M14" s="22"/>
      <c r="N14" s="21"/>
      <c r="O14" s="23"/>
      <c r="P14" s="1"/>
      <c r="Q14" s="1"/>
    </row>
    <row r="15">
      <c r="A15" s="1"/>
      <c r="B15" s="1"/>
      <c r="C15" s="1"/>
      <c r="D15" s="1"/>
      <c r="E15" s="1"/>
      <c r="F15" s="16" t="s">
        <v>32</v>
      </c>
      <c r="G15" s="30">
        <f>3/(G14*10)</f>
        <v>0.006269592476</v>
      </c>
      <c r="H15" s="16" t="s">
        <v>33</v>
      </c>
      <c r="I15" s="1"/>
      <c r="J15" s="16" t="s">
        <v>32</v>
      </c>
      <c r="K15" s="31">
        <f>3/(K14*10)</f>
        <v>0.007926023778</v>
      </c>
      <c r="L15" s="16" t="s">
        <v>33</v>
      </c>
      <c r="M15" s="1"/>
      <c r="N15" s="19"/>
      <c r="O15" s="29"/>
      <c r="P15" s="1"/>
      <c r="Q15" s="1"/>
    </row>
    <row r="16" ht="15.75" customHeight="1">
      <c r="A16" s="1"/>
      <c r="B16" s="1"/>
      <c r="C16" s="1"/>
      <c r="D16" s="1"/>
      <c r="E16" s="1"/>
      <c r="F16" s="25" t="s">
        <v>34</v>
      </c>
      <c r="G16" s="26"/>
      <c r="H16" s="25"/>
      <c r="I16" s="1"/>
      <c r="J16" s="25" t="s">
        <v>34</v>
      </c>
      <c r="K16" s="27"/>
      <c r="L16" s="25"/>
      <c r="M16" s="26"/>
      <c r="N16" s="27"/>
      <c r="O16" s="28"/>
      <c r="P16" s="1"/>
      <c r="Q16" s="1"/>
    </row>
    <row r="17" ht="15.75" customHeight="1">
      <c r="A17" s="1"/>
      <c r="B17" s="39" t="s">
        <v>35</v>
      </c>
      <c r="C17" s="40"/>
      <c r="D17" s="1"/>
      <c r="E17" s="1"/>
      <c r="F17" s="16" t="s">
        <v>36</v>
      </c>
      <c r="G17" s="18">
        <v>4.2</v>
      </c>
      <c r="H17" s="41" t="s">
        <v>37</v>
      </c>
      <c r="I17" s="1"/>
      <c r="J17" s="16" t="s">
        <v>36</v>
      </c>
      <c r="K17" s="18">
        <v>0.4</v>
      </c>
      <c r="L17" s="9" t="s">
        <v>38</v>
      </c>
      <c r="M17" s="22"/>
      <c r="N17" s="21"/>
      <c r="O17" s="23"/>
      <c r="P17" s="1"/>
      <c r="Q17" s="1"/>
    </row>
    <row r="18">
      <c r="A18" s="1"/>
      <c r="B18" s="42" t="s">
        <v>39</v>
      </c>
      <c r="C18" s="43"/>
      <c r="D18" s="1"/>
      <c r="E18" s="1"/>
      <c r="F18" s="16" t="s">
        <v>40</v>
      </c>
      <c r="G18" s="18">
        <v>39.5</v>
      </c>
      <c r="H18" s="16" t="s">
        <v>41</v>
      </c>
      <c r="I18" s="1"/>
      <c r="J18" s="16" t="s">
        <v>40</v>
      </c>
      <c r="K18" s="18">
        <v>55.0</v>
      </c>
      <c r="L18" s="16" t="s">
        <v>42</v>
      </c>
      <c r="M18" s="1"/>
      <c r="N18" s="19"/>
      <c r="O18" s="29"/>
      <c r="P18" s="1"/>
      <c r="Q18" s="1"/>
    </row>
    <row r="19" ht="15.75" customHeight="1">
      <c r="A19" s="1"/>
      <c r="B19" s="44" t="s">
        <v>43</v>
      </c>
      <c r="C19" s="45"/>
      <c r="D19" s="1"/>
      <c r="E19" s="1"/>
      <c r="F19" s="16" t="s">
        <v>44</v>
      </c>
      <c r="G19" s="30">
        <f>10*LOG10(($G$18/100)*(PI()*$G$17/$G$15)^2)</f>
        <v>62.42916797</v>
      </c>
      <c r="H19" s="16" t="s">
        <v>45</v>
      </c>
      <c r="I19" s="1"/>
      <c r="J19" s="16" t="s">
        <v>44</v>
      </c>
      <c r="K19" s="30">
        <f>10*LOG10(($K$18/100)*(PI()*$K$17/$K$15)^2)</f>
        <v>41.40671676</v>
      </c>
      <c r="L19" s="16" t="s">
        <v>46</v>
      </c>
      <c r="M19" s="1"/>
      <c r="N19" s="19"/>
      <c r="O19" s="29"/>
      <c r="P19" s="1"/>
      <c r="Q19" s="1"/>
    </row>
    <row r="20" ht="15.75" customHeight="1">
      <c r="A20" s="1"/>
      <c r="B20" s="1"/>
      <c r="C20" s="1"/>
      <c r="D20" s="1"/>
      <c r="E20" s="1"/>
      <c r="F20" s="25" t="s">
        <v>47</v>
      </c>
      <c r="G20" s="26"/>
      <c r="H20" s="25"/>
      <c r="I20" s="1"/>
      <c r="J20" s="25" t="s">
        <v>48</v>
      </c>
      <c r="K20" s="26"/>
      <c r="L20" s="25"/>
      <c r="M20" s="26"/>
      <c r="N20" s="27"/>
      <c r="O20" s="28"/>
      <c r="P20" s="1"/>
      <c r="Q20" s="1"/>
    </row>
    <row r="21" ht="15.75" customHeight="1">
      <c r="A21" s="1"/>
      <c r="B21" s="1"/>
      <c r="C21" s="1"/>
      <c r="D21" s="1"/>
      <c r="E21" s="1"/>
      <c r="F21" s="16" t="s">
        <v>49</v>
      </c>
      <c r="G21" s="18">
        <v>0.0</v>
      </c>
      <c r="H21" s="16" t="s">
        <v>50</v>
      </c>
      <c r="I21" s="1"/>
      <c r="J21" s="16" t="s">
        <v>51</v>
      </c>
      <c r="K21" s="18">
        <v>280.0</v>
      </c>
      <c r="L21" s="16" t="s">
        <v>52</v>
      </c>
      <c r="M21" s="42" t="s">
        <v>53</v>
      </c>
      <c r="N21" s="20">
        <v>30.0</v>
      </c>
      <c r="O21" s="46" t="s">
        <v>54</v>
      </c>
      <c r="P21" s="1"/>
      <c r="Q21" s="1"/>
    </row>
    <row r="22" ht="15.75" customHeight="1">
      <c r="A22" s="1"/>
      <c r="B22" s="1"/>
      <c r="C22" s="1"/>
      <c r="D22" s="1"/>
      <c r="E22" s="1"/>
      <c r="F22" s="16" t="s">
        <v>55</v>
      </c>
      <c r="G22" s="18">
        <v>1.0</v>
      </c>
      <c r="H22" s="16" t="s">
        <v>56</v>
      </c>
      <c r="I22" s="1"/>
      <c r="J22" s="16" t="s">
        <v>57</v>
      </c>
      <c r="K22" s="18">
        <v>290.0</v>
      </c>
      <c r="L22" s="16" t="s">
        <v>58</v>
      </c>
      <c r="M22" s="42" t="s">
        <v>59</v>
      </c>
      <c r="N22" s="20">
        <v>0.7</v>
      </c>
      <c r="O22" s="46" t="s">
        <v>60</v>
      </c>
      <c r="P22" s="1"/>
      <c r="Q22" s="1"/>
    </row>
    <row r="23" ht="15.75" customHeight="1">
      <c r="A23" s="1"/>
      <c r="B23" s="1"/>
      <c r="C23" s="1"/>
      <c r="D23" s="1"/>
      <c r="E23" s="1"/>
      <c r="F23" s="16" t="s">
        <v>61</v>
      </c>
      <c r="G23" s="18">
        <v>1.6</v>
      </c>
      <c r="H23" s="16" t="s">
        <v>62</v>
      </c>
      <c r="I23" s="1"/>
      <c r="J23" s="16" t="s">
        <v>63</v>
      </c>
      <c r="K23" s="18">
        <v>3.0</v>
      </c>
      <c r="L23" s="16" t="s">
        <v>64</v>
      </c>
      <c r="M23" s="42" t="s">
        <v>65</v>
      </c>
      <c r="N23" s="31">
        <f>2.7/10^($N$22/10)+$K$21*(1-1/10^($N$22/10))</f>
        <v>43.97942201</v>
      </c>
      <c r="O23" s="46" t="s">
        <v>66</v>
      </c>
      <c r="P23" s="1"/>
      <c r="Q23" s="1"/>
    </row>
    <row r="24" ht="15.75" customHeight="1">
      <c r="A24" s="1"/>
      <c r="B24" s="1"/>
      <c r="C24" s="1"/>
      <c r="D24" s="1"/>
      <c r="E24" s="1"/>
      <c r="F24" s="16" t="s">
        <v>67</v>
      </c>
      <c r="G24" s="30">
        <f>20*LOG10(4*PI()*$G$10*1000/$G$15)</f>
        <v>217.5483671</v>
      </c>
      <c r="H24" s="16" t="s">
        <v>68</v>
      </c>
      <c r="I24" s="1"/>
      <c r="J24" s="16" t="s">
        <v>69</v>
      </c>
      <c r="K24" s="30">
        <f>290*(10^(K23/10)-1)</f>
        <v>288.6260713</v>
      </c>
      <c r="L24" s="16" t="s">
        <v>70</v>
      </c>
      <c r="M24" s="42" t="s">
        <v>71</v>
      </c>
      <c r="N24" s="31">
        <f>N23+N21</f>
        <v>73.97942201</v>
      </c>
      <c r="O24" s="46" t="s">
        <v>72</v>
      </c>
      <c r="P24" s="1"/>
      <c r="Q24" s="1"/>
    </row>
    <row r="25" ht="15.75" customHeight="1">
      <c r="A25" s="1"/>
      <c r="B25" s="1"/>
      <c r="C25" s="1"/>
      <c r="D25" s="1"/>
      <c r="E25" s="1"/>
      <c r="F25" s="25" t="s">
        <v>73</v>
      </c>
      <c r="G25" s="26"/>
      <c r="H25" s="25"/>
      <c r="I25" s="1"/>
      <c r="J25" s="16" t="s">
        <v>49</v>
      </c>
      <c r="K25" s="18">
        <v>0.5</v>
      </c>
      <c r="L25" s="16" t="s">
        <v>74</v>
      </c>
      <c r="M25" s="42" t="s">
        <v>75</v>
      </c>
      <c r="N25" s="31">
        <f>$N$24/10^($K$25/10)+$K$22*(1-1/10^($K$25/10))+$K$24</f>
        <v>386.0975285</v>
      </c>
      <c r="O25" s="46" t="s">
        <v>76</v>
      </c>
      <c r="P25" s="1"/>
      <c r="Q25" s="1"/>
    </row>
    <row r="26" ht="15.75" customHeight="1">
      <c r="A26" s="1"/>
      <c r="B26" s="1"/>
      <c r="C26" s="1"/>
      <c r="D26" s="1"/>
      <c r="E26" s="1"/>
      <c r="F26" s="16" t="s">
        <v>77</v>
      </c>
      <c r="G26" s="18">
        <v>14.91</v>
      </c>
      <c r="H26" s="16" t="s">
        <v>78</v>
      </c>
      <c r="I26" s="1"/>
      <c r="J26" s="16" t="s">
        <v>79</v>
      </c>
      <c r="K26" s="18">
        <v>1.0</v>
      </c>
      <c r="L26" s="16" t="s">
        <v>80</v>
      </c>
      <c r="M26" s="42" t="s">
        <v>81</v>
      </c>
      <c r="N26" s="31">
        <f>20*LOG10(4*PI()*$K$10*1000/K15)</f>
        <v>215.6304529</v>
      </c>
      <c r="O26" s="46" t="s">
        <v>82</v>
      </c>
      <c r="P26" s="1"/>
      <c r="Q26" s="1"/>
    </row>
    <row r="27" ht="15.75" customHeight="1">
      <c r="A27" s="1"/>
      <c r="B27" s="1"/>
      <c r="C27" s="1"/>
      <c r="D27" s="1"/>
      <c r="E27" s="1"/>
      <c r="F27" s="16" t="s">
        <v>83</v>
      </c>
      <c r="G27" s="30">
        <f>G26+G19-G21-G22</f>
        <v>76.33916797</v>
      </c>
      <c r="H27" s="17"/>
      <c r="I27" s="1"/>
      <c r="J27" s="25" t="s">
        <v>84</v>
      </c>
      <c r="K27" s="26"/>
      <c r="L27" s="25"/>
      <c r="M27" s="47"/>
      <c r="N27" s="27"/>
      <c r="O27" s="28"/>
      <c r="P27" s="1"/>
      <c r="Q27" s="1"/>
    </row>
    <row r="28" ht="15.75" customHeight="1">
      <c r="A28" s="1"/>
      <c r="B28" s="1"/>
      <c r="C28" s="1"/>
      <c r="D28" s="1"/>
      <c r="E28" s="1"/>
      <c r="F28" s="16" t="s">
        <v>85</v>
      </c>
      <c r="G28" s="30">
        <f>G27-$G$24-$G$23</f>
        <v>-142.8091991</v>
      </c>
      <c r="H28" s="16" t="s">
        <v>86</v>
      </c>
      <c r="I28" s="1"/>
      <c r="J28" s="16" t="s">
        <v>87</v>
      </c>
      <c r="K28" s="49">
        <v>61.0</v>
      </c>
      <c r="L28" s="17"/>
      <c r="M28" s="48"/>
      <c r="N28" s="19"/>
      <c r="O28" s="29"/>
      <c r="P28" s="1"/>
      <c r="Q28" s="1"/>
    </row>
    <row r="29" ht="15.75" customHeight="1">
      <c r="A29" s="1"/>
      <c r="B29" s="1"/>
      <c r="C29" s="1"/>
      <c r="D29" s="1"/>
      <c r="E29" s="1"/>
      <c r="F29" s="16" t="s">
        <v>88</v>
      </c>
      <c r="G29" s="18">
        <v>4.4</v>
      </c>
      <c r="H29" s="16" t="s">
        <v>89</v>
      </c>
      <c r="I29" s="1"/>
      <c r="J29" s="16" t="s">
        <v>88</v>
      </c>
      <c r="K29" s="30">
        <f>K19-K26-K25-10*LOG(N25)</f>
        <v>14.03974654</v>
      </c>
      <c r="L29" s="16" t="s">
        <v>90</v>
      </c>
      <c r="M29" s="48"/>
      <c r="N29" s="19"/>
      <c r="O29" s="29"/>
      <c r="P29" s="1"/>
      <c r="Q29" s="1"/>
    </row>
    <row r="30" ht="15.75" customHeight="1">
      <c r="A30" s="1"/>
      <c r="B30" s="1"/>
      <c r="C30" s="1"/>
      <c r="D30" s="1"/>
      <c r="E30" s="1"/>
      <c r="F30" s="25" t="s">
        <v>91</v>
      </c>
      <c r="G30" s="26"/>
      <c r="H30" s="25"/>
      <c r="I30" s="1"/>
      <c r="J30" s="16"/>
      <c r="K30" s="30"/>
      <c r="L30" s="17"/>
      <c r="M30" s="48"/>
      <c r="N30" s="19"/>
      <c r="O30" s="29"/>
      <c r="P30" s="1"/>
      <c r="Q30" s="1"/>
    </row>
    <row r="31" ht="15.75" customHeight="1">
      <c r="A31" s="1"/>
      <c r="B31" s="1"/>
      <c r="C31" s="1"/>
      <c r="D31" s="1"/>
      <c r="E31" s="1"/>
      <c r="F31" s="16" t="s">
        <v>92</v>
      </c>
      <c r="G31" s="18">
        <v>30.0</v>
      </c>
      <c r="H31" s="16" t="s">
        <v>93</v>
      </c>
      <c r="I31" s="1"/>
      <c r="J31" s="16" t="s">
        <v>92</v>
      </c>
      <c r="K31" s="18">
        <v>18.0</v>
      </c>
      <c r="L31" s="16" t="s">
        <v>94</v>
      </c>
      <c r="M31" s="48"/>
      <c r="N31" s="19"/>
      <c r="O31" s="29"/>
      <c r="P31" s="1"/>
      <c r="Q31" s="1"/>
    </row>
    <row r="32" ht="15.75" customHeight="1">
      <c r="A32" s="1"/>
      <c r="B32" s="1"/>
      <c r="C32" s="1"/>
      <c r="D32" s="1"/>
      <c r="E32" s="1"/>
      <c r="F32" s="16" t="s">
        <v>95</v>
      </c>
      <c r="G32" s="18">
        <v>23.0</v>
      </c>
      <c r="H32" s="16" t="s">
        <v>96</v>
      </c>
      <c r="I32" s="1"/>
      <c r="J32" s="16" t="s">
        <v>95</v>
      </c>
      <c r="K32" s="18">
        <v>21.0</v>
      </c>
      <c r="L32" s="16" t="s">
        <v>97</v>
      </c>
      <c r="M32" s="48"/>
      <c r="N32" s="19"/>
      <c r="O32" s="29"/>
      <c r="P32" s="1"/>
      <c r="Q32" s="1"/>
    </row>
    <row r="33" ht="15.75" customHeight="1">
      <c r="A33" s="1"/>
      <c r="B33" s="1"/>
      <c r="C33" s="1"/>
      <c r="D33" s="1"/>
      <c r="E33" s="1"/>
      <c r="F33" s="16" t="s">
        <v>98</v>
      </c>
      <c r="G33" s="30">
        <f>G27-G23-(10*LOG10(4*PI()*($G$10*1000)^2))</f>
        <v>-87.76188674</v>
      </c>
      <c r="H33" s="16" t="s">
        <v>99</v>
      </c>
      <c r="I33" s="1"/>
      <c r="J33" s="16" t="s">
        <v>98</v>
      </c>
      <c r="K33" s="30">
        <f>K28-N22-(10*LOG10(4*PI()*($K$10*1000)^2))</f>
        <v>-102.3194617</v>
      </c>
      <c r="L33" s="16" t="s">
        <v>100</v>
      </c>
      <c r="M33" s="48"/>
      <c r="N33" s="19"/>
      <c r="O33" s="29"/>
      <c r="P33" s="1"/>
      <c r="Q33" s="1"/>
    </row>
    <row r="34" ht="15.75" customHeight="1">
      <c r="A34" s="1"/>
      <c r="B34" s="1"/>
      <c r="C34" s="1"/>
      <c r="D34" s="1"/>
      <c r="E34" s="1"/>
      <c r="F34" s="16" t="s">
        <v>101</v>
      </c>
      <c r="G34" s="30">
        <f>G27-G23-G24+G29-(10*LOG10(1.38*10^-23))</f>
        <v>90.19201001</v>
      </c>
      <c r="H34" s="16" t="s">
        <v>102</v>
      </c>
      <c r="I34" s="1"/>
      <c r="J34" s="16" t="s">
        <v>101</v>
      </c>
      <c r="K34" s="30">
        <f>$K$28-30-$N$26-$N$22+$K$29-(10*LOG10(1.38*10^-23))</f>
        <v>57.31050276</v>
      </c>
      <c r="L34" s="16" t="s">
        <v>103</v>
      </c>
      <c r="M34" s="48"/>
      <c r="N34" s="19"/>
      <c r="O34" s="29"/>
      <c r="P34" s="1"/>
      <c r="Q34" s="1"/>
    </row>
    <row r="35" ht="15.75" customHeight="1">
      <c r="A35" s="1"/>
      <c r="B35" s="1"/>
      <c r="C35" s="1"/>
      <c r="D35" s="1"/>
      <c r="E35" s="1"/>
      <c r="F35" s="16" t="s">
        <v>104</v>
      </c>
      <c r="G35" s="30">
        <f>G34-10*LOG10($C$6*10^6)</f>
        <v>31.06351177</v>
      </c>
      <c r="H35" s="16" t="s">
        <v>105</v>
      </c>
      <c r="I35" s="1"/>
      <c r="J35" s="16" t="s">
        <v>104</v>
      </c>
      <c r="K35" s="30">
        <f>$K$28-30-$N$26-$N$22+$K$29-(10*LOG10(1.38*10^-23*$C$6*10^6))</f>
        <v>-1.817995487</v>
      </c>
      <c r="L35" s="16" t="s">
        <v>106</v>
      </c>
      <c r="M35" s="48"/>
      <c r="N35" s="19"/>
      <c r="O35" s="29"/>
      <c r="P35" s="1"/>
      <c r="Q35" s="1"/>
    </row>
    <row r="36" ht="15.75" customHeight="1">
      <c r="A36" s="1"/>
      <c r="B36" s="1"/>
      <c r="C36" s="1"/>
      <c r="D36" s="1"/>
      <c r="E36" s="1"/>
      <c r="F36" s="16" t="s">
        <v>107</v>
      </c>
      <c r="G36" s="30">
        <f>10*LOG10(1/((1/(10^(G35/10)))+(1/(10^(G31/10)))+(1/(10^(G32/10)))))</f>
        <v>21.67831711</v>
      </c>
      <c r="H36" s="19"/>
      <c r="I36" s="1"/>
      <c r="J36" s="16" t="s">
        <v>107</v>
      </c>
      <c r="K36" s="30">
        <f>10*LOG10(1/((1/10^(K35/10))+(1/10^(K31/10))+(1/10^(K32/10))))</f>
        <v>-1.885454859</v>
      </c>
      <c r="L36" s="19"/>
      <c r="M36" s="48"/>
      <c r="N36" s="19"/>
      <c r="O36" s="29"/>
      <c r="P36" s="1"/>
      <c r="Q36" s="1"/>
    </row>
    <row r="37" ht="15.75" customHeight="1">
      <c r="A37" s="1"/>
      <c r="B37" s="1"/>
      <c r="C37" s="1"/>
      <c r="D37" s="1"/>
      <c r="E37" s="1"/>
      <c r="F37" s="35" t="s">
        <v>108</v>
      </c>
      <c r="G37" s="50">
        <f>10*LOG10(1/((1/(10^(G34/10)))+(1/(10^(G31/10)))+(1/(10^(G32/10)))))</f>
        <v>22.20990181</v>
      </c>
      <c r="H37" s="51"/>
      <c r="I37" s="1"/>
      <c r="J37" s="35" t="s">
        <v>108</v>
      </c>
      <c r="K37" s="50">
        <f>10*LOG10(1/((1/10^(K34/10))+(1/10^(K31/10))+(1/10^(K32/10))))</f>
        <v>16.23531231</v>
      </c>
      <c r="L37" s="51"/>
      <c r="M37" s="52"/>
      <c r="N37" s="51"/>
      <c r="O37" s="53"/>
      <c r="P37" s="1"/>
      <c r="Q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1"/>
      <c r="B39" s="1"/>
      <c r="C39" s="1"/>
      <c r="D39" s="1"/>
      <c r="E39" s="1"/>
      <c r="F39" s="1"/>
      <c r="G39" s="1"/>
      <c r="H39" s="54" t="s">
        <v>109</v>
      </c>
      <c r="I39" s="55">
        <f>10*LOG10(1/((1/10^(G36/10))+(1/10^(K36/10))))</f>
        <v>-1.904529353</v>
      </c>
      <c r="J39" s="56"/>
      <c r="K39" s="57"/>
      <c r="L39" s="1"/>
      <c r="M39" s="1"/>
      <c r="N39" s="1"/>
      <c r="O39" s="1"/>
      <c r="P39" s="1"/>
      <c r="Q39" s="1"/>
    </row>
    <row r="40" ht="15.75" customHeight="1">
      <c r="A40" s="1"/>
      <c r="B40" s="1"/>
      <c r="C40" s="1"/>
      <c r="D40" s="1"/>
      <c r="E40" s="1"/>
      <c r="F40" s="1"/>
      <c r="G40" s="1"/>
      <c r="H40" s="58"/>
      <c r="I40" s="59"/>
      <c r="J40" s="60"/>
      <c r="K40" s="61"/>
      <c r="L40" s="1"/>
      <c r="M40" s="1"/>
      <c r="N40" s="1"/>
      <c r="O40" s="1"/>
      <c r="P40" s="1"/>
      <c r="Q40" s="1"/>
    </row>
    <row r="41" ht="15.75" customHeight="1">
      <c r="A41" s="1"/>
      <c r="B41" s="1"/>
      <c r="C41" s="1"/>
      <c r="D41" s="1"/>
      <c r="E41" s="1"/>
      <c r="F41" s="1"/>
      <c r="G41" s="1"/>
      <c r="H41" s="54" t="s">
        <v>110</v>
      </c>
      <c r="I41" s="55">
        <f>I39-C14</f>
        <v>0.1454706465</v>
      </c>
      <c r="J41" s="56"/>
      <c r="K41" s="57"/>
      <c r="L41" s="1"/>
      <c r="M41" s="1"/>
      <c r="N41" s="1"/>
      <c r="O41" s="1"/>
      <c r="P41" s="1"/>
      <c r="Q41" s="1"/>
    </row>
    <row r="42" ht="15.75" customHeight="1">
      <c r="A42" s="1"/>
      <c r="B42" s="1"/>
      <c r="C42" s="1"/>
      <c r="D42" s="1"/>
      <c r="E42" s="1"/>
      <c r="F42" s="1"/>
      <c r="G42" s="1"/>
      <c r="H42" s="58"/>
      <c r="I42" s="59"/>
      <c r="J42" s="60"/>
      <c r="K42" s="61"/>
      <c r="L42" s="1"/>
      <c r="M42" s="1"/>
      <c r="N42" s="1"/>
      <c r="O42" s="1"/>
      <c r="P42" s="1"/>
      <c r="Q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H39:H40"/>
    <mergeCell ref="I39:K40"/>
    <mergeCell ref="H41:H42"/>
    <mergeCell ref="I41:K4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7.43"/>
    <col customWidth="1" min="3" max="3" width="12.29"/>
    <col customWidth="1" min="4" max="4" width="18.57"/>
    <col customWidth="1" min="5" max="5" width="5.0"/>
    <col customWidth="1" min="6" max="6" width="22.71"/>
    <col customWidth="1" min="7" max="7" width="12.86"/>
    <col customWidth="1" min="8" max="8" width="39.0"/>
    <col customWidth="1" min="9" max="9" width="5.14"/>
    <col customWidth="1" min="10" max="10" width="22.71"/>
    <col customWidth="1" min="11" max="11" width="12.86"/>
    <col customWidth="1" min="12" max="12" width="39.0"/>
    <col customWidth="1" min="13" max="13" width="9.86"/>
    <col customWidth="1" min="14" max="14" width="12.29"/>
    <col customWidth="1" min="15" max="15" width="23.86"/>
    <col customWidth="1" min="16" max="16" width="15.86"/>
    <col customWidth="1" min="17" max="17" width="41.0"/>
    <col customWidth="1" min="18" max="26" width="17.29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ht="15.75" customHeight="1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ht="15.75" customHeight="1">
      <c r="A3" s="1"/>
      <c r="B3" s="3" t="s">
        <v>0</v>
      </c>
      <c r="C3" s="4"/>
      <c r="D3" s="5"/>
      <c r="E3" s="1"/>
      <c r="F3" s="3" t="s">
        <v>1</v>
      </c>
      <c r="G3" s="4"/>
      <c r="H3" s="5"/>
      <c r="I3" s="1"/>
      <c r="J3" s="6" t="s">
        <v>2</v>
      </c>
      <c r="K3" s="7"/>
      <c r="L3" s="7"/>
      <c r="M3" s="7"/>
      <c r="N3" s="7"/>
      <c r="O3" s="8"/>
      <c r="P3" s="1"/>
      <c r="Q3" s="1"/>
    </row>
    <row r="4" ht="15.75" customHeight="1">
      <c r="A4" s="1"/>
      <c r="B4" s="9" t="s">
        <v>3</v>
      </c>
      <c r="C4" s="10">
        <v>10.0</v>
      </c>
      <c r="D4" s="9" t="s">
        <v>4</v>
      </c>
      <c r="E4" s="1"/>
      <c r="F4" s="12" t="s">
        <v>5</v>
      </c>
      <c r="G4" s="13"/>
      <c r="H4" s="14"/>
      <c r="I4" s="1"/>
      <c r="J4" s="12" t="s">
        <v>5</v>
      </c>
      <c r="K4" s="14"/>
      <c r="L4" s="14"/>
      <c r="M4" s="13"/>
      <c r="N4" s="14"/>
      <c r="O4" s="15"/>
      <c r="P4" s="1"/>
      <c r="Q4" s="1"/>
    </row>
    <row r="5">
      <c r="A5" s="1"/>
      <c r="B5" s="16" t="s">
        <v>6</v>
      </c>
      <c r="C5" s="10">
        <v>10.0</v>
      </c>
      <c r="D5" s="17"/>
      <c r="E5" s="1"/>
      <c r="F5" s="16" t="s">
        <v>7</v>
      </c>
      <c r="G5" s="18">
        <v>25.0</v>
      </c>
      <c r="H5" s="19"/>
      <c r="I5" s="1"/>
      <c r="J5" s="16" t="s">
        <v>7</v>
      </c>
      <c r="K5" s="20">
        <v>25.0</v>
      </c>
      <c r="L5" s="21"/>
      <c r="M5" s="22"/>
      <c r="N5" s="21"/>
      <c r="O5" s="23"/>
      <c r="P5" s="1"/>
      <c r="Q5" s="1"/>
    </row>
    <row r="6" ht="15.75" customHeight="1">
      <c r="A6" s="1"/>
      <c r="B6" s="16" t="s">
        <v>8</v>
      </c>
      <c r="C6" s="24">
        <f>C4/(1+C5/100)</f>
        <v>9.090909091</v>
      </c>
      <c r="D6" s="16" t="s">
        <v>9</v>
      </c>
      <c r="E6" s="1"/>
      <c r="F6" s="25" t="s">
        <v>10</v>
      </c>
      <c r="G6" s="26"/>
      <c r="H6" s="27"/>
      <c r="I6" s="1"/>
      <c r="J6" s="25" t="s">
        <v>10</v>
      </c>
      <c r="K6" s="27"/>
      <c r="L6" s="27"/>
      <c r="M6" s="26"/>
      <c r="N6" s="27"/>
      <c r="O6" s="28"/>
      <c r="P6" s="1"/>
      <c r="Q6" s="1"/>
    </row>
    <row r="7">
      <c r="A7" s="1"/>
      <c r="B7" s="16" t="s">
        <v>11</v>
      </c>
      <c r="C7" s="10" t="s">
        <v>12</v>
      </c>
      <c r="D7" s="17"/>
      <c r="E7" s="1"/>
      <c r="F7" s="16" t="s">
        <v>13</v>
      </c>
      <c r="G7" s="18">
        <v>40.599</v>
      </c>
      <c r="H7" s="19"/>
      <c r="I7" s="1"/>
      <c r="J7" s="16" t="s">
        <v>13</v>
      </c>
      <c r="K7" s="20">
        <v>45.4</v>
      </c>
      <c r="L7" s="21"/>
      <c r="M7" s="22"/>
      <c r="N7" s="21"/>
      <c r="O7" s="23"/>
      <c r="P7" s="1"/>
      <c r="Q7" s="1"/>
    </row>
    <row r="8">
      <c r="A8" s="1"/>
      <c r="B8" s="16" t="s">
        <v>14</v>
      </c>
      <c r="C8" s="10">
        <v>0.8</v>
      </c>
      <c r="D8" s="17"/>
      <c r="E8" s="1"/>
      <c r="F8" s="16" t="s">
        <v>15</v>
      </c>
      <c r="G8" s="18">
        <v>15.723</v>
      </c>
      <c r="H8" s="19"/>
      <c r="I8" s="1"/>
      <c r="J8" s="16" t="s">
        <v>15</v>
      </c>
      <c r="K8" s="20">
        <v>9.5</v>
      </c>
      <c r="L8" s="19"/>
      <c r="M8" s="1"/>
      <c r="N8" s="19"/>
      <c r="O8" s="29"/>
      <c r="P8" s="1"/>
      <c r="Q8" s="1"/>
    </row>
    <row r="9" ht="15.75" customHeight="1">
      <c r="A9" s="1"/>
      <c r="B9" s="16" t="s">
        <v>16</v>
      </c>
      <c r="C9" s="10">
        <v>2.0</v>
      </c>
      <c r="D9" s="16" t="s">
        <v>17</v>
      </c>
      <c r="E9" s="1"/>
      <c r="F9" s="16" t="s">
        <v>18</v>
      </c>
      <c r="G9" s="30">
        <f>G8-G5</f>
        <v>-9.277</v>
      </c>
      <c r="H9" s="19"/>
      <c r="I9" s="1"/>
      <c r="J9" s="16" t="s">
        <v>18</v>
      </c>
      <c r="K9" s="31">
        <f>K8-K5</f>
        <v>-15.5</v>
      </c>
      <c r="L9" s="19"/>
      <c r="M9" s="1"/>
      <c r="N9" s="19"/>
      <c r="O9" s="29"/>
      <c r="P9" s="1"/>
      <c r="Q9" s="1"/>
    </row>
    <row r="10" ht="15.75" customHeight="1">
      <c r="A10" s="1"/>
      <c r="B10" s="16" t="s">
        <v>19</v>
      </c>
      <c r="C10" s="24">
        <f>C6*C9*C8</f>
        <v>14.54545455</v>
      </c>
      <c r="D10" s="16" t="s">
        <v>20</v>
      </c>
      <c r="E10" s="1"/>
      <c r="F10" s="16" t="s">
        <v>21</v>
      </c>
      <c r="G10" s="30">
        <f>SQRT(35786^2*(1+0.42*(1-COS(RADIANS($G$7))*COS(RADIANS($G$8-$G$5)))))</f>
        <v>37622.5132</v>
      </c>
      <c r="H10" s="19"/>
      <c r="I10" s="1"/>
      <c r="J10" s="16" t="s">
        <v>21</v>
      </c>
      <c r="K10" s="31">
        <f>SQRT(35786^2*(1+0.42*(1-COS(RADIANS($K$7))*COS(RADIANS($K$8-$K$5)))))-M10</f>
        <v>28138.89912</v>
      </c>
      <c r="L10" s="32" t="s">
        <v>22</v>
      </c>
      <c r="M10" s="33">
        <v>10000.0</v>
      </c>
      <c r="N10" s="31"/>
      <c r="O10" s="34"/>
      <c r="P10" s="1"/>
      <c r="Q10" s="1"/>
    </row>
    <row r="11">
      <c r="A11" s="1"/>
      <c r="B11" s="16" t="s">
        <v>23</v>
      </c>
      <c r="C11" s="24">
        <f>C10/C6</f>
        <v>1.6</v>
      </c>
      <c r="D11" s="16" t="s">
        <v>17</v>
      </c>
      <c r="E11" s="1"/>
      <c r="F11" s="16" t="s">
        <v>24</v>
      </c>
      <c r="G11" s="30">
        <f>180+(ATAN((TAN(G9*PI()/180))/(SIN(G7*PI()/180))))*180/PI()</f>
        <v>165.9095858</v>
      </c>
      <c r="H11" s="19"/>
      <c r="I11" s="1"/>
      <c r="J11" s="16" t="s">
        <v>24</v>
      </c>
      <c r="K11" s="31">
        <f>180+(ATAN((TAN(K9*PI()/180))/(SIN(K7*PI()/180))))*180/PI()</f>
        <v>158.7197572</v>
      </c>
      <c r="L11" s="19"/>
      <c r="M11" s="1"/>
      <c r="N11" s="19"/>
      <c r="O11" s="29"/>
      <c r="P11" s="1"/>
      <c r="Q11" s="1"/>
    </row>
    <row r="12">
      <c r="A12" s="1"/>
      <c r="B12" s="16"/>
      <c r="C12" s="24">
        <f>C10/C4</f>
        <v>1.454545455</v>
      </c>
      <c r="D12" s="16" t="s">
        <v>25</v>
      </c>
      <c r="E12" s="1"/>
      <c r="F12" s="16" t="s">
        <v>26</v>
      </c>
      <c r="G12" s="30">
        <f>(ATAN(((COS(G7*PI()/180)*COS(G9*PI()/180))-0.151)/(SQRT(1-((COS(G7*PI()/180)^2)*COS(G9*PI()/180)^2)))))/PI()*180</f>
        <v>42.1015751</v>
      </c>
      <c r="H12" s="19"/>
      <c r="I12" s="1"/>
      <c r="J12" s="16" t="s">
        <v>26</v>
      </c>
      <c r="K12" s="31">
        <f>(ATAN(((COS(K7*PI()/180)*COS(K9*PI()/180))-0.151)/(SQRT(1-((COS(K7*PI()/180)^2)*COS(K9*PI()/180)^2)))))/PI()*180</f>
        <v>35.52024755</v>
      </c>
      <c r="L12" s="19"/>
      <c r="M12" s="1"/>
      <c r="N12" s="19"/>
      <c r="O12" s="29"/>
      <c r="P12" s="1"/>
      <c r="Q12" s="1"/>
    </row>
    <row r="13" ht="15.75" customHeight="1">
      <c r="A13" s="1"/>
      <c r="B13" s="16" t="s">
        <v>27</v>
      </c>
      <c r="C13" s="24">
        <f>C6*C11</f>
        <v>14.54545455</v>
      </c>
      <c r="D13" s="16" t="s">
        <v>28</v>
      </c>
      <c r="E13" s="1"/>
      <c r="F13" s="25" t="s">
        <v>29</v>
      </c>
      <c r="G13" s="26"/>
      <c r="H13" s="27"/>
      <c r="I13" s="1"/>
      <c r="J13" s="25" t="s">
        <v>29</v>
      </c>
      <c r="K13" s="27"/>
      <c r="L13" s="27"/>
      <c r="M13" s="26"/>
      <c r="N13" s="27"/>
      <c r="O13" s="28"/>
      <c r="P13" s="1"/>
      <c r="Q13" s="1"/>
    </row>
    <row r="14" ht="15.75" customHeight="1">
      <c r="A14" s="1"/>
      <c r="B14" s="35" t="s">
        <v>30</v>
      </c>
      <c r="C14" s="36">
        <v>-2.05</v>
      </c>
      <c r="D14" s="37"/>
      <c r="E14" s="1"/>
      <c r="F14" s="16" t="s">
        <v>31</v>
      </c>
      <c r="G14" s="18">
        <v>47.85</v>
      </c>
      <c r="H14" s="19"/>
      <c r="I14" s="1"/>
      <c r="J14" s="16" t="s">
        <v>31</v>
      </c>
      <c r="K14" s="38">
        <v>37.85</v>
      </c>
      <c r="L14" s="9"/>
      <c r="M14" s="22"/>
      <c r="N14" s="21"/>
      <c r="O14" s="23"/>
      <c r="P14" s="1"/>
      <c r="Q14" s="1"/>
    </row>
    <row r="15">
      <c r="A15" s="1"/>
      <c r="B15" s="1"/>
      <c r="C15" s="1"/>
      <c r="D15" s="1"/>
      <c r="E15" s="1"/>
      <c r="F15" s="16" t="s">
        <v>32</v>
      </c>
      <c r="G15" s="30">
        <f>3/(G14*10)</f>
        <v>0.006269592476</v>
      </c>
      <c r="H15" s="16" t="s">
        <v>33</v>
      </c>
      <c r="I15" s="1"/>
      <c r="J15" s="16" t="s">
        <v>32</v>
      </c>
      <c r="K15" s="31">
        <f>3/(K14*10)</f>
        <v>0.007926023778</v>
      </c>
      <c r="L15" s="16" t="s">
        <v>33</v>
      </c>
      <c r="M15" s="1"/>
      <c r="N15" s="19"/>
      <c r="O15" s="29"/>
      <c r="P15" s="1"/>
      <c r="Q15" s="1"/>
    </row>
    <row r="16" ht="15.75" customHeight="1">
      <c r="A16" s="1"/>
      <c r="B16" s="1"/>
      <c r="C16" s="1"/>
      <c r="D16" s="1"/>
      <c r="E16" s="1"/>
      <c r="F16" s="25" t="s">
        <v>34</v>
      </c>
      <c r="G16" s="26"/>
      <c r="H16" s="25"/>
      <c r="I16" s="1"/>
      <c r="J16" s="25" t="s">
        <v>34</v>
      </c>
      <c r="K16" s="27"/>
      <c r="L16" s="25"/>
      <c r="M16" s="26"/>
      <c r="N16" s="27"/>
      <c r="O16" s="28"/>
      <c r="P16" s="1"/>
      <c r="Q16" s="1"/>
    </row>
    <row r="17" ht="15.75" customHeight="1">
      <c r="A17" s="1"/>
      <c r="B17" s="39" t="s">
        <v>35</v>
      </c>
      <c r="C17" s="40"/>
      <c r="D17" s="1"/>
      <c r="E17" s="1"/>
      <c r="F17" s="16" t="s">
        <v>36</v>
      </c>
      <c r="G17" s="18">
        <v>4.2</v>
      </c>
      <c r="H17" s="41" t="s">
        <v>37</v>
      </c>
      <c r="I17" s="1"/>
      <c r="J17" s="16" t="s">
        <v>36</v>
      </c>
      <c r="K17" s="18">
        <v>0.4</v>
      </c>
      <c r="L17" s="9" t="s">
        <v>38</v>
      </c>
      <c r="M17" s="22"/>
      <c r="N17" s="21"/>
      <c r="O17" s="23"/>
      <c r="P17" s="1"/>
      <c r="Q17" s="1"/>
    </row>
    <row r="18">
      <c r="A18" s="1"/>
      <c r="B18" s="42" t="s">
        <v>39</v>
      </c>
      <c r="C18" s="43"/>
      <c r="D18" s="1"/>
      <c r="E18" s="1"/>
      <c r="F18" s="16" t="s">
        <v>40</v>
      </c>
      <c r="G18" s="18">
        <v>39.5</v>
      </c>
      <c r="H18" s="16" t="s">
        <v>41</v>
      </c>
      <c r="I18" s="1"/>
      <c r="J18" s="16" t="s">
        <v>40</v>
      </c>
      <c r="K18" s="18">
        <v>55.0</v>
      </c>
      <c r="L18" s="16" t="s">
        <v>42</v>
      </c>
      <c r="M18" s="1"/>
      <c r="N18" s="19"/>
      <c r="O18" s="29"/>
      <c r="P18" s="1"/>
      <c r="Q18" s="1"/>
    </row>
    <row r="19" ht="15.75" customHeight="1">
      <c r="A19" s="1"/>
      <c r="B19" s="44" t="s">
        <v>43</v>
      </c>
      <c r="C19" s="45"/>
      <c r="D19" s="1"/>
      <c r="E19" s="1"/>
      <c r="F19" s="16" t="s">
        <v>44</v>
      </c>
      <c r="G19" s="30">
        <f>10*LOG10(($G$18/100)*(PI()*$G$17/$G$15)^2)</f>
        <v>62.42916797</v>
      </c>
      <c r="H19" s="16" t="s">
        <v>45</v>
      </c>
      <c r="I19" s="1"/>
      <c r="J19" s="16" t="s">
        <v>44</v>
      </c>
      <c r="K19" s="30">
        <f>10*LOG10(($K$18/100)*(PI()*$K$17/$K$15)^2)</f>
        <v>41.40671676</v>
      </c>
      <c r="L19" s="16" t="s">
        <v>46</v>
      </c>
      <c r="M19" s="1"/>
      <c r="N19" s="19"/>
      <c r="O19" s="29"/>
      <c r="P19" s="1"/>
      <c r="Q19" s="1"/>
    </row>
    <row r="20" ht="15.75" customHeight="1">
      <c r="A20" s="1"/>
      <c r="B20" s="1"/>
      <c r="C20" s="1"/>
      <c r="D20" s="1"/>
      <c r="E20" s="1"/>
      <c r="F20" s="25" t="s">
        <v>47</v>
      </c>
      <c r="G20" s="26"/>
      <c r="H20" s="25"/>
      <c r="I20" s="1"/>
      <c r="J20" s="25" t="s">
        <v>48</v>
      </c>
      <c r="K20" s="26"/>
      <c r="L20" s="25"/>
      <c r="M20" s="26"/>
      <c r="N20" s="27"/>
      <c r="O20" s="28"/>
      <c r="P20" s="1"/>
      <c r="Q20" s="1"/>
    </row>
    <row r="21" ht="15.75" customHeight="1">
      <c r="A21" s="1"/>
      <c r="B21" s="1"/>
      <c r="C21" s="1"/>
      <c r="D21" s="1"/>
      <c r="E21" s="1"/>
      <c r="F21" s="16" t="s">
        <v>49</v>
      </c>
      <c r="G21" s="18">
        <v>0.0</v>
      </c>
      <c r="H21" s="16" t="s">
        <v>50</v>
      </c>
      <c r="I21" s="1"/>
      <c r="J21" s="16" t="s">
        <v>51</v>
      </c>
      <c r="K21" s="18">
        <v>280.0</v>
      </c>
      <c r="L21" s="16" t="s">
        <v>52</v>
      </c>
      <c r="M21" s="42" t="s">
        <v>53</v>
      </c>
      <c r="N21" s="20">
        <v>30.0</v>
      </c>
      <c r="O21" s="46" t="s">
        <v>54</v>
      </c>
      <c r="P21" s="1"/>
      <c r="Q21" s="1"/>
    </row>
    <row r="22" ht="15.75" customHeight="1">
      <c r="A22" s="1"/>
      <c r="B22" s="1"/>
      <c r="C22" s="1"/>
      <c r="D22" s="1"/>
      <c r="E22" s="1"/>
      <c r="F22" s="16" t="s">
        <v>55</v>
      </c>
      <c r="G22" s="18">
        <v>1.0</v>
      </c>
      <c r="H22" s="16" t="s">
        <v>56</v>
      </c>
      <c r="I22" s="1"/>
      <c r="J22" s="16" t="s">
        <v>57</v>
      </c>
      <c r="K22" s="18">
        <v>290.0</v>
      </c>
      <c r="L22" s="16" t="s">
        <v>58</v>
      </c>
      <c r="M22" s="42" t="s">
        <v>59</v>
      </c>
      <c r="N22" s="20">
        <v>0.03</v>
      </c>
      <c r="O22" s="46" t="s">
        <v>60</v>
      </c>
      <c r="P22" s="1"/>
      <c r="Q22" s="1"/>
    </row>
    <row r="23" ht="15.75" customHeight="1">
      <c r="A23" s="1"/>
      <c r="B23" s="1"/>
      <c r="C23" s="1"/>
      <c r="D23" s="1"/>
      <c r="E23" s="1"/>
      <c r="F23" s="16" t="s">
        <v>61</v>
      </c>
      <c r="G23" s="18">
        <v>1.6</v>
      </c>
      <c r="H23" s="16" t="s">
        <v>62</v>
      </c>
      <c r="I23" s="1"/>
      <c r="J23" s="16" t="s">
        <v>63</v>
      </c>
      <c r="K23" s="18">
        <v>3.0</v>
      </c>
      <c r="L23" s="16" t="s">
        <v>64</v>
      </c>
      <c r="M23" s="42" t="s">
        <v>65</v>
      </c>
      <c r="N23" s="31">
        <f>2.7/10^($N$22/10)+$K$21*(1-1/10^($N$22/10))</f>
        <v>4.608919773</v>
      </c>
      <c r="O23" s="46" t="s">
        <v>66</v>
      </c>
      <c r="P23" s="1"/>
      <c r="Q23" s="1"/>
    </row>
    <row r="24" ht="15.75" customHeight="1">
      <c r="A24" s="1"/>
      <c r="B24" s="1"/>
      <c r="C24" s="1"/>
      <c r="D24" s="1"/>
      <c r="E24" s="1"/>
      <c r="F24" s="16" t="s">
        <v>67</v>
      </c>
      <c r="G24" s="30">
        <f>20*LOG10(4*PI()*$G$10*1000/$G$15)</f>
        <v>217.5483671</v>
      </c>
      <c r="H24" s="16" t="s">
        <v>68</v>
      </c>
      <c r="I24" s="1"/>
      <c r="J24" s="16" t="s">
        <v>69</v>
      </c>
      <c r="K24" s="30">
        <f>290*(10^(K23/10)-1)</f>
        <v>288.6260713</v>
      </c>
      <c r="L24" s="16" t="s">
        <v>70</v>
      </c>
      <c r="M24" s="42" t="s">
        <v>71</v>
      </c>
      <c r="N24" s="31">
        <f>N23+N21</f>
        <v>34.60891977</v>
      </c>
      <c r="O24" s="46" t="s">
        <v>72</v>
      </c>
      <c r="P24" s="1"/>
      <c r="Q24" s="1"/>
    </row>
    <row r="25" ht="15.75" customHeight="1">
      <c r="A25" s="1"/>
      <c r="B25" s="1"/>
      <c r="C25" s="1"/>
      <c r="D25" s="1"/>
      <c r="E25" s="1"/>
      <c r="F25" s="25" t="s">
        <v>73</v>
      </c>
      <c r="G25" s="26"/>
      <c r="H25" s="25"/>
      <c r="I25" s="1"/>
      <c r="J25" s="16" t="s">
        <v>49</v>
      </c>
      <c r="K25" s="18">
        <v>0.5</v>
      </c>
      <c r="L25" s="16" t="s">
        <v>74</v>
      </c>
      <c r="M25" s="42" t="s">
        <v>75</v>
      </c>
      <c r="N25" s="31">
        <f>$N$24/10^($K$25/10)+$K$22*(1-1/10^($K$25/10))+$K$24</f>
        <v>351.0085315</v>
      </c>
      <c r="O25" s="46" t="s">
        <v>76</v>
      </c>
      <c r="P25" s="1"/>
      <c r="Q25" s="1"/>
    </row>
    <row r="26" ht="15.75" customHeight="1">
      <c r="A26" s="1"/>
      <c r="B26" s="1"/>
      <c r="C26" s="1"/>
      <c r="D26" s="1"/>
      <c r="E26" s="1"/>
      <c r="F26" s="16" t="s">
        <v>77</v>
      </c>
      <c r="G26" s="18">
        <v>14.91</v>
      </c>
      <c r="H26" s="16" t="s">
        <v>78</v>
      </c>
      <c r="I26" s="1"/>
      <c r="J26" s="16" t="s">
        <v>79</v>
      </c>
      <c r="K26" s="18">
        <v>1.0</v>
      </c>
      <c r="L26" s="16" t="s">
        <v>80</v>
      </c>
      <c r="M26" s="42" t="s">
        <v>81</v>
      </c>
      <c r="N26" s="31">
        <f>20*LOG10(4*PI()*$K$10*1000/K15)</f>
        <v>212.9892319</v>
      </c>
      <c r="O26" s="46" t="s">
        <v>82</v>
      </c>
      <c r="P26" s="1"/>
      <c r="Q26" s="1"/>
    </row>
    <row r="27" ht="15.75" customHeight="1">
      <c r="A27" s="1"/>
      <c r="B27" s="1"/>
      <c r="C27" s="1"/>
      <c r="D27" s="1"/>
      <c r="E27" s="1"/>
      <c r="F27" s="16" t="s">
        <v>83</v>
      </c>
      <c r="G27" s="30">
        <f>G26+G19-G21-G22</f>
        <v>76.33916797</v>
      </c>
      <c r="H27" s="17"/>
      <c r="I27" s="1"/>
      <c r="J27" s="25" t="s">
        <v>84</v>
      </c>
      <c r="K27" s="26"/>
      <c r="L27" s="25"/>
      <c r="M27" s="47"/>
      <c r="N27" s="27"/>
      <c r="O27" s="28"/>
      <c r="P27" s="1"/>
      <c r="Q27" s="1"/>
    </row>
    <row r="28" ht="15.75" customHeight="1">
      <c r="A28" s="1"/>
      <c r="B28" s="1"/>
      <c r="C28" s="1"/>
      <c r="D28" s="1"/>
      <c r="E28" s="1"/>
      <c r="F28" s="16" t="s">
        <v>85</v>
      </c>
      <c r="G28" s="30">
        <f>G27-$G$24-$G$23</f>
        <v>-142.8091991</v>
      </c>
      <c r="H28" s="16" t="s">
        <v>86</v>
      </c>
      <c r="I28" s="1"/>
      <c r="J28" s="16" t="s">
        <v>87</v>
      </c>
      <c r="K28" s="18">
        <v>69.0</v>
      </c>
      <c r="L28" s="17"/>
      <c r="M28" s="48"/>
      <c r="N28" s="19"/>
      <c r="O28" s="29"/>
      <c r="P28" s="1"/>
      <c r="Q28" s="1"/>
    </row>
    <row r="29" ht="15.75" customHeight="1">
      <c r="A29" s="1"/>
      <c r="B29" s="1"/>
      <c r="C29" s="1"/>
      <c r="D29" s="1"/>
      <c r="E29" s="1"/>
      <c r="F29" s="16" t="s">
        <v>88</v>
      </c>
      <c r="G29" s="18">
        <v>4.4</v>
      </c>
      <c r="H29" s="16" t="s">
        <v>89</v>
      </c>
      <c r="I29" s="1"/>
      <c r="J29" s="16" t="s">
        <v>88</v>
      </c>
      <c r="K29" s="30">
        <f>K19-K26-K25-10*LOG(N25)</f>
        <v>14.45354003</v>
      </c>
      <c r="L29" s="16" t="s">
        <v>90</v>
      </c>
      <c r="M29" s="48"/>
      <c r="N29" s="19"/>
      <c r="O29" s="29"/>
      <c r="P29" s="1"/>
      <c r="Q29" s="1"/>
    </row>
    <row r="30" ht="15.75" customHeight="1">
      <c r="A30" s="1"/>
      <c r="B30" s="1"/>
      <c r="C30" s="1"/>
      <c r="D30" s="1"/>
      <c r="E30" s="1"/>
      <c r="F30" s="25" t="s">
        <v>91</v>
      </c>
      <c r="G30" s="26"/>
      <c r="H30" s="25"/>
      <c r="I30" s="1"/>
      <c r="J30" s="16"/>
      <c r="K30" s="30"/>
      <c r="L30" s="17"/>
      <c r="M30" s="48"/>
      <c r="N30" s="19"/>
      <c r="O30" s="29"/>
      <c r="P30" s="1"/>
      <c r="Q30" s="1"/>
    </row>
    <row r="31" ht="15.75" customHeight="1">
      <c r="A31" s="1"/>
      <c r="B31" s="1"/>
      <c r="C31" s="1"/>
      <c r="D31" s="1"/>
      <c r="E31" s="1"/>
      <c r="F31" s="16" t="s">
        <v>92</v>
      </c>
      <c r="G31" s="18">
        <v>30.0</v>
      </c>
      <c r="H31" s="16" t="s">
        <v>93</v>
      </c>
      <c r="I31" s="1"/>
      <c r="J31" s="16" t="s">
        <v>92</v>
      </c>
      <c r="K31" s="18">
        <v>18.0</v>
      </c>
      <c r="L31" s="16" t="s">
        <v>94</v>
      </c>
      <c r="M31" s="48"/>
      <c r="N31" s="19"/>
      <c r="O31" s="29"/>
      <c r="P31" s="1"/>
      <c r="Q31" s="1"/>
    </row>
    <row r="32" ht="15.75" customHeight="1">
      <c r="A32" s="1"/>
      <c r="B32" s="1"/>
      <c r="C32" s="1"/>
      <c r="D32" s="1"/>
      <c r="E32" s="1"/>
      <c r="F32" s="16" t="s">
        <v>95</v>
      </c>
      <c r="G32" s="18">
        <v>23.0</v>
      </c>
      <c r="H32" s="16" t="s">
        <v>96</v>
      </c>
      <c r="I32" s="1"/>
      <c r="J32" s="16" t="s">
        <v>95</v>
      </c>
      <c r="K32" s="18">
        <v>21.0</v>
      </c>
      <c r="L32" s="16" t="s">
        <v>97</v>
      </c>
      <c r="M32" s="48"/>
      <c r="N32" s="19"/>
      <c r="O32" s="29"/>
      <c r="P32" s="1"/>
      <c r="Q32" s="1"/>
    </row>
    <row r="33" ht="15.75" customHeight="1">
      <c r="A33" s="1"/>
      <c r="B33" s="1"/>
      <c r="C33" s="1"/>
      <c r="D33" s="1"/>
      <c r="E33" s="1"/>
      <c r="F33" s="16" t="s">
        <v>98</v>
      </c>
      <c r="G33" s="30">
        <f>G27-G23-(10*LOG10(4*PI()*($G$10*1000)^2))</f>
        <v>-87.76188674</v>
      </c>
      <c r="H33" s="16" t="s">
        <v>99</v>
      </c>
      <c r="I33" s="1"/>
      <c r="J33" s="16" t="s">
        <v>98</v>
      </c>
      <c r="K33" s="30">
        <f>K28-N22-(10*LOG10(4*PI()*($K$10*1000)^2))</f>
        <v>-91.00824069</v>
      </c>
      <c r="L33" s="16" t="s">
        <v>100</v>
      </c>
      <c r="M33" s="48"/>
      <c r="N33" s="19"/>
      <c r="O33" s="29"/>
      <c r="P33" s="1"/>
      <c r="Q33" s="1"/>
    </row>
    <row r="34" ht="15.75" customHeight="1">
      <c r="A34" s="1"/>
      <c r="B34" s="1"/>
      <c r="C34" s="1"/>
      <c r="D34" s="1"/>
      <c r="E34" s="1"/>
      <c r="F34" s="16" t="s">
        <v>101</v>
      </c>
      <c r="G34" s="30">
        <f>G27-G23-G24+G29-(10*LOG10(1.38*10^-23))</f>
        <v>90.19201001</v>
      </c>
      <c r="H34" s="16" t="s">
        <v>102</v>
      </c>
      <c r="I34" s="1"/>
      <c r="J34" s="16" t="s">
        <v>101</v>
      </c>
      <c r="K34" s="30">
        <f>$K$28-30-$N$26-$N$22+$K$29-(10*LOG10(1.38*10^-23))</f>
        <v>69.03551726</v>
      </c>
      <c r="L34" s="16" t="s">
        <v>103</v>
      </c>
      <c r="M34" s="48"/>
      <c r="N34" s="19"/>
      <c r="O34" s="29"/>
      <c r="P34" s="1"/>
      <c r="Q34" s="1"/>
    </row>
    <row r="35" ht="15.75" customHeight="1">
      <c r="A35" s="1"/>
      <c r="B35" s="1"/>
      <c r="C35" s="1"/>
      <c r="D35" s="1"/>
      <c r="E35" s="1"/>
      <c r="F35" s="16" t="s">
        <v>104</v>
      </c>
      <c r="G35" s="30">
        <f>G34-10*LOG10($C$6*10^6)</f>
        <v>20.60593686</v>
      </c>
      <c r="H35" s="16" t="s">
        <v>105</v>
      </c>
      <c r="I35" s="1"/>
      <c r="J35" s="16" t="s">
        <v>104</v>
      </c>
      <c r="K35" s="30">
        <f>$K$28-30-$N$26-$N$22+$K$29-(10*LOG10(1.38*10^-23*$C$6*10^6))</f>
        <v>-0.5505558908</v>
      </c>
      <c r="L35" s="16" t="s">
        <v>106</v>
      </c>
      <c r="M35" s="48"/>
      <c r="N35" s="19"/>
      <c r="O35" s="29"/>
      <c r="P35" s="1"/>
      <c r="Q35" s="1"/>
    </row>
    <row r="36" ht="15.75" customHeight="1">
      <c r="A36" s="1"/>
      <c r="B36" s="1"/>
      <c r="C36" s="1"/>
      <c r="D36" s="1"/>
      <c r="E36" s="1"/>
      <c r="F36" s="16" t="s">
        <v>107</v>
      </c>
      <c r="G36" s="30">
        <f>10*LOG10(1/((1/(10^(G35/10)))+(1/(10^(G31/10)))+(1/(10^(G32/10)))))</f>
        <v>18.32398836</v>
      </c>
      <c r="H36" s="19"/>
      <c r="I36" s="1"/>
      <c r="J36" s="16" t="s">
        <v>107</v>
      </c>
      <c r="K36" s="30">
        <f>10*LOG10(1/((1/10^(K35/10))+(1/10^(K31/10))+(1/10^(K32/10))))</f>
        <v>-0.640640699</v>
      </c>
      <c r="L36" s="19"/>
      <c r="M36" s="48"/>
      <c r="N36" s="19"/>
      <c r="O36" s="29"/>
      <c r="P36" s="1"/>
      <c r="Q36" s="1"/>
    </row>
    <row r="37" ht="15.75" customHeight="1">
      <c r="A37" s="1"/>
      <c r="B37" s="1"/>
      <c r="C37" s="1"/>
      <c r="D37" s="1"/>
      <c r="E37" s="1"/>
      <c r="F37" s="35" t="s">
        <v>108</v>
      </c>
      <c r="G37" s="50">
        <f>10*LOG10(1/((1/(10^(G34/10)))+(1/(10^(G31/10)))+(1/(10^(G32/10)))))</f>
        <v>22.20990181</v>
      </c>
      <c r="H37" s="51"/>
      <c r="I37" s="1"/>
      <c r="J37" s="35" t="s">
        <v>108</v>
      </c>
      <c r="K37" s="50">
        <f>10*LOG10(1/((1/10^(K34/10))+(1/10^(K31/10))+(1/10^(K32/10))))</f>
        <v>16.23562858</v>
      </c>
      <c r="L37" s="51"/>
      <c r="M37" s="52"/>
      <c r="N37" s="51"/>
      <c r="O37" s="53"/>
      <c r="P37" s="1"/>
      <c r="Q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1"/>
      <c r="B39" s="1"/>
      <c r="C39" s="1"/>
      <c r="D39" s="1"/>
      <c r="E39" s="1"/>
      <c r="F39" s="1"/>
      <c r="G39" s="1"/>
      <c r="H39" s="54" t="s">
        <v>109</v>
      </c>
      <c r="I39" s="55">
        <f>10*LOG10(1/((1/10^(G36/10))+(1/10^(K36/10))))</f>
        <v>-0.695415372</v>
      </c>
      <c r="J39" s="56"/>
      <c r="K39" s="57"/>
      <c r="L39" s="1"/>
      <c r="M39" s="1"/>
      <c r="N39" s="1"/>
      <c r="O39" s="1"/>
      <c r="P39" s="1"/>
      <c r="Q39" s="1"/>
    </row>
    <row r="40" ht="15.75" customHeight="1">
      <c r="A40" s="1"/>
      <c r="B40" s="1"/>
      <c r="C40" s="1"/>
      <c r="D40" s="1"/>
      <c r="E40" s="1"/>
      <c r="F40" s="1"/>
      <c r="G40" s="1"/>
      <c r="H40" s="58"/>
      <c r="I40" s="59"/>
      <c r="J40" s="60"/>
      <c r="K40" s="61"/>
      <c r="L40" s="1"/>
      <c r="M40" s="1"/>
      <c r="N40" s="1"/>
      <c r="O40" s="1"/>
      <c r="P40" s="1"/>
      <c r="Q40" s="1"/>
    </row>
    <row r="41" ht="15.75" customHeight="1">
      <c r="A41" s="1"/>
      <c r="B41" s="1"/>
      <c r="C41" s="1"/>
      <c r="D41" s="1"/>
      <c r="E41" s="1"/>
      <c r="F41" s="1"/>
      <c r="G41" s="1"/>
      <c r="H41" s="54" t="s">
        <v>110</v>
      </c>
      <c r="I41" s="55">
        <f>I39-C14</f>
        <v>1.354584628</v>
      </c>
      <c r="J41" s="56"/>
      <c r="K41" s="57"/>
      <c r="L41" s="1"/>
      <c r="M41" s="1"/>
      <c r="N41" s="1"/>
      <c r="O41" s="1"/>
      <c r="P41" s="1"/>
      <c r="Q41" s="1"/>
    </row>
    <row r="42" ht="15.75" customHeight="1">
      <c r="A42" s="1"/>
      <c r="B42" s="1"/>
      <c r="C42" s="1"/>
      <c r="D42" s="1"/>
      <c r="E42" s="1"/>
      <c r="F42" s="1"/>
      <c r="G42" s="1"/>
      <c r="H42" s="58"/>
      <c r="I42" s="59"/>
      <c r="J42" s="60"/>
      <c r="K42" s="61"/>
      <c r="L42" s="1"/>
      <c r="M42" s="1"/>
      <c r="N42" s="1"/>
      <c r="O42" s="1"/>
      <c r="P42" s="1"/>
      <c r="Q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H39:H40"/>
    <mergeCell ref="I39:K40"/>
    <mergeCell ref="H41:H42"/>
    <mergeCell ref="I41:K4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7.43"/>
    <col customWidth="1" min="3" max="3" width="12.29"/>
    <col customWidth="1" min="4" max="4" width="18.57"/>
    <col customWidth="1" min="5" max="5" width="5.0"/>
    <col customWidth="1" min="6" max="6" width="22.71"/>
    <col customWidth="1" min="7" max="7" width="12.86"/>
    <col customWidth="1" min="8" max="8" width="39.0"/>
    <col customWidth="1" min="9" max="9" width="5.14"/>
    <col customWidth="1" min="10" max="10" width="22.71"/>
    <col customWidth="1" min="11" max="11" width="12.86"/>
    <col customWidth="1" min="12" max="12" width="39.0"/>
    <col customWidth="1" min="13" max="13" width="9.86"/>
    <col customWidth="1" min="14" max="14" width="12.29"/>
    <col customWidth="1" min="15" max="15" width="23.86"/>
    <col customWidth="1" min="16" max="16" width="15.86"/>
    <col customWidth="1" min="17" max="17" width="41.0"/>
    <col customWidth="1" min="18" max="26" width="17.29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ht="15.75" customHeight="1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ht="15.75" customHeight="1">
      <c r="A3" s="1"/>
      <c r="B3" s="3" t="s">
        <v>0</v>
      </c>
      <c r="C3" s="4"/>
      <c r="D3" s="5"/>
      <c r="E3" s="1"/>
      <c r="F3" s="3" t="s">
        <v>1</v>
      </c>
      <c r="G3" s="4"/>
      <c r="H3" s="5"/>
      <c r="I3" s="1"/>
      <c r="J3" s="6" t="s">
        <v>2</v>
      </c>
      <c r="K3" s="7"/>
      <c r="L3" s="7"/>
      <c r="M3" s="7"/>
      <c r="N3" s="7"/>
      <c r="O3" s="8"/>
      <c r="P3" s="1"/>
      <c r="Q3" s="1"/>
    </row>
    <row r="4" ht="15.75" customHeight="1">
      <c r="A4" s="1"/>
      <c r="B4" s="9" t="s">
        <v>3</v>
      </c>
      <c r="C4" s="10">
        <v>10.0</v>
      </c>
      <c r="D4" s="9" t="s">
        <v>4</v>
      </c>
      <c r="E4" s="1"/>
      <c r="F4" s="12" t="s">
        <v>5</v>
      </c>
      <c r="G4" s="13"/>
      <c r="H4" s="14"/>
      <c r="I4" s="1"/>
      <c r="J4" s="12" t="s">
        <v>5</v>
      </c>
      <c r="K4" s="14"/>
      <c r="L4" s="14"/>
      <c r="M4" s="13"/>
      <c r="N4" s="14"/>
      <c r="O4" s="15"/>
      <c r="P4" s="1"/>
      <c r="Q4" s="1"/>
    </row>
    <row r="5">
      <c r="A5" s="1"/>
      <c r="B5" s="16" t="s">
        <v>6</v>
      </c>
      <c r="C5" s="10">
        <v>10.0</v>
      </c>
      <c r="D5" s="17"/>
      <c r="E5" s="1"/>
      <c r="F5" s="16" t="s">
        <v>7</v>
      </c>
      <c r="G5" s="18">
        <v>25.0</v>
      </c>
      <c r="H5" s="19"/>
      <c r="I5" s="1"/>
      <c r="J5" s="16" t="s">
        <v>7</v>
      </c>
      <c r="K5" s="20">
        <v>25.0</v>
      </c>
      <c r="L5" s="21"/>
      <c r="M5" s="22"/>
      <c r="N5" s="21"/>
      <c r="O5" s="23"/>
      <c r="P5" s="1"/>
      <c r="Q5" s="1"/>
    </row>
    <row r="6" ht="15.75" customHeight="1">
      <c r="A6" s="1"/>
      <c r="B6" s="16" t="s">
        <v>8</v>
      </c>
      <c r="C6" s="24">
        <f>C4/(1+C5/100)</f>
        <v>9.090909091</v>
      </c>
      <c r="D6" s="16" t="s">
        <v>9</v>
      </c>
      <c r="E6" s="1"/>
      <c r="F6" s="25" t="s">
        <v>10</v>
      </c>
      <c r="G6" s="26"/>
      <c r="H6" s="27"/>
      <c r="I6" s="1"/>
      <c r="J6" s="25" t="s">
        <v>10</v>
      </c>
      <c r="K6" s="27"/>
      <c r="L6" s="27"/>
      <c r="M6" s="26"/>
      <c r="N6" s="27"/>
      <c r="O6" s="28"/>
      <c r="P6" s="1"/>
      <c r="Q6" s="1"/>
    </row>
    <row r="7">
      <c r="A7" s="1"/>
      <c r="B7" s="16" t="s">
        <v>11</v>
      </c>
      <c r="C7" s="10" t="s">
        <v>12</v>
      </c>
      <c r="D7" s="17"/>
      <c r="E7" s="1"/>
      <c r="F7" s="16" t="s">
        <v>13</v>
      </c>
      <c r="G7" s="18">
        <v>40.599</v>
      </c>
      <c r="H7" s="19"/>
      <c r="I7" s="1"/>
      <c r="J7" s="16" t="s">
        <v>13</v>
      </c>
      <c r="K7" s="20">
        <v>45.4</v>
      </c>
      <c r="L7" s="21"/>
      <c r="M7" s="22"/>
      <c r="N7" s="21"/>
      <c r="O7" s="23"/>
      <c r="P7" s="1"/>
      <c r="Q7" s="1"/>
    </row>
    <row r="8">
      <c r="A8" s="1"/>
      <c r="B8" s="16" t="s">
        <v>14</v>
      </c>
      <c r="C8" s="10">
        <v>0.8</v>
      </c>
      <c r="D8" s="17"/>
      <c r="E8" s="1"/>
      <c r="F8" s="16" t="s">
        <v>15</v>
      </c>
      <c r="G8" s="18">
        <v>15.723</v>
      </c>
      <c r="H8" s="19"/>
      <c r="I8" s="1"/>
      <c r="J8" s="16" t="s">
        <v>15</v>
      </c>
      <c r="K8" s="20">
        <v>9.5</v>
      </c>
      <c r="L8" s="19"/>
      <c r="M8" s="1"/>
      <c r="N8" s="19"/>
      <c r="O8" s="29"/>
      <c r="P8" s="1"/>
      <c r="Q8" s="1"/>
    </row>
    <row r="9" ht="15.75" customHeight="1">
      <c r="A9" s="1"/>
      <c r="B9" s="16" t="s">
        <v>16</v>
      </c>
      <c r="C9" s="10">
        <v>2.0</v>
      </c>
      <c r="D9" s="16" t="s">
        <v>17</v>
      </c>
      <c r="E9" s="1"/>
      <c r="F9" s="16" t="s">
        <v>18</v>
      </c>
      <c r="G9" s="30">
        <f>G8-G5</f>
        <v>-9.277</v>
      </c>
      <c r="H9" s="19"/>
      <c r="I9" s="1"/>
      <c r="J9" s="16" t="s">
        <v>18</v>
      </c>
      <c r="K9" s="31">
        <f>K8-K5</f>
        <v>-15.5</v>
      </c>
      <c r="L9" s="19"/>
      <c r="M9" s="1"/>
      <c r="N9" s="19"/>
      <c r="O9" s="29"/>
      <c r="P9" s="1"/>
      <c r="Q9" s="1"/>
    </row>
    <row r="10" ht="15.75" customHeight="1">
      <c r="A10" s="1"/>
      <c r="B10" s="16" t="s">
        <v>19</v>
      </c>
      <c r="C10" s="24">
        <f>C6*C9*C8</f>
        <v>14.54545455</v>
      </c>
      <c r="D10" s="16" t="s">
        <v>20</v>
      </c>
      <c r="E10" s="1"/>
      <c r="F10" s="16" t="s">
        <v>21</v>
      </c>
      <c r="G10" s="30">
        <f>SQRT(35786^2*(1+0.42*(1-COS(RADIANS($G$7))*COS(RADIANS($G$8-$G$5)))))</f>
        <v>37622.5132</v>
      </c>
      <c r="H10" s="19"/>
      <c r="I10" s="1"/>
      <c r="J10" s="16" t="s">
        <v>21</v>
      </c>
      <c r="K10" s="31">
        <f>SQRT(35786^2*(1+0.42*(1-COS(RADIANS($K$7))*COS(RADIANS($K$8-$K$5)))))-M10</f>
        <v>38138.89912</v>
      </c>
      <c r="L10" s="32" t="s">
        <v>22</v>
      </c>
      <c r="M10" s="33">
        <v>0.0</v>
      </c>
      <c r="N10" s="31"/>
      <c r="O10" s="34"/>
      <c r="P10" s="1"/>
      <c r="Q10" s="1"/>
    </row>
    <row r="11">
      <c r="A11" s="1"/>
      <c r="B11" s="16" t="s">
        <v>23</v>
      </c>
      <c r="C11" s="24">
        <f>C10/C6</f>
        <v>1.6</v>
      </c>
      <c r="D11" s="16" t="s">
        <v>17</v>
      </c>
      <c r="E11" s="1"/>
      <c r="F11" s="16" t="s">
        <v>24</v>
      </c>
      <c r="G11" s="30">
        <f>180+(ATAN((TAN(G9*PI()/180))/(SIN(G7*PI()/180))))*180/PI()</f>
        <v>165.9095858</v>
      </c>
      <c r="H11" s="19"/>
      <c r="I11" s="1"/>
      <c r="J11" s="16" t="s">
        <v>24</v>
      </c>
      <c r="K11" s="31">
        <f>180+(ATAN((TAN(K9*PI()/180))/(SIN(K7*PI()/180))))*180/PI()</f>
        <v>158.7197572</v>
      </c>
      <c r="L11" s="19"/>
      <c r="M11" s="1"/>
      <c r="N11" s="19"/>
      <c r="O11" s="29"/>
      <c r="P11" s="1"/>
      <c r="Q11" s="1"/>
    </row>
    <row r="12">
      <c r="A12" s="1"/>
      <c r="B12" s="16"/>
      <c r="C12" s="24">
        <f>C10/C4</f>
        <v>1.454545455</v>
      </c>
      <c r="D12" s="16" t="s">
        <v>25</v>
      </c>
      <c r="E12" s="1"/>
      <c r="F12" s="16" t="s">
        <v>26</v>
      </c>
      <c r="G12" s="30">
        <f>(ATAN(((COS(G7*PI()/180)*COS(G9*PI()/180))-0.151)/(SQRT(1-((COS(G7*PI()/180)^2)*COS(G9*PI()/180)^2)))))/PI()*180</f>
        <v>42.1015751</v>
      </c>
      <c r="H12" s="19"/>
      <c r="I12" s="1"/>
      <c r="J12" s="16" t="s">
        <v>26</v>
      </c>
      <c r="K12" s="31">
        <f>(ATAN(((COS(K7*PI()/180)*COS(K9*PI()/180))-0.151)/(SQRT(1-((COS(K7*PI()/180)^2)*COS(K9*PI()/180)^2)))))/PI()*180</f>
        <v>35.52024755</v>
      </c>
      <c r="L12" s="19"/>
      <c r="M12" s="1"/>
      <c r="N12" s="19"/>
      <c r="O12" s="29"/>
      <c r="P12" s="1"/>
      <c r="Q12" s="1"/>
    </row>
    <row r="13" ht="15.75" customHeight="1">
      <c r="A13" s="1"/>
      <c r="B13" s="16" t="s">
        <v>27</v>
      </c>
      <c r="C13" s="24">
        <f>C6*C11</f>
        <v>14.54545455</v>
      </c>
      <c r="D13" s="16" t="s">
        <v>28</v>
      </c>
      <c r="E13" s="1"/>
      <c r="F13" s="25" t="s">
        <v>29</v>
      </c>
      <c r="G13" s="26"/>
      <c r="H13" s="27"/>
      <c r="I13" s="1"/>
      <c r="J13" s="25" t="s">
        <v>29</v>
      </c>
      <c r="K13" s="27"/>
      <c r="L13" s="27"/>
      <c r="M13" s="26"/>
      <c r="N13" s="27"/>
      <c r="O13" s="28"/>
      <c r="P13" s="1"/>
      <c r="Q13" s="1"/>
    </row>
    <row r="14" ht="15.75" customHeight="1">
      <c r="A14" s="1"/>
      <c r="B14" s="35" t="s">
        <v>30</v>
      </c>
      <c r="C14" s="36">
        <v>-2.05</v>
      </c>
      <c r="D14" s="37"/>
      <c r="E14" s="1"/>
      <c r="F14" s="16" t="s">
        <v>31</v>
      </c>
      <c r="G14" s="18">
        <v>47.85</v>
      </c>
      <c r="H14" s="19"/>
      <c r="I14" s="1"/>
      <c r="J14" s="16" t="s">
        <v>31</v>
      </c>
      <c r="K14" s="38">
        <v>37.85</v>
      </c>
      <c r="L14" s="9"/>
      <c r="M14" s="22"/>
      <c r="N14" s="21"/>
      <c r="O14" s="23"/>
      <c r="P14" s="1"/>
      <c r="Q14" s="1"/>
    </row>
    <row r="15">
      <c r="A15" s="1"/>
      <c r="B15" s="1"/>
      <c r="C15" s="1"/>
      <c r="D15" s="1"/>
      <c r="E15" s="1"/>
      <c r="F15" s="16" t="s">
        <v>32</v>
      </c>
      <c r="G15" s="30">
        <f>3/(G14*10)</f>
        <v>0.006269592476</v>
      </c>
      <c r="H15" s="16" t="s">
        <v>33</v>
      </c>
      <c r="I15" s="1"/>
      <c r="J15" s="16" t="s">
        <v>32</v>
      </c>
      <c r="K15" s="31">
        <f>3/(K14*10)</f>
        <v>0.007926023778</v>
      </c>
      <c r="L15" s="16" t="s">
        <v>33</v>
      </c>
      <c r="M15" s="1"/>
      <c r="N15" s="19"/>
      <c r="O15" s="29"/>
      <c r="P15" s="1"/>
      <c r="Q15" s="1"/>
    </row>
    <row r="16" ht="15.75" customHeight="1">
      <c r="A16" s="1"/>
      <c r="B16" s="1"/>
      <c r="C16" s="1"/>
      <c r="D16" s="1"/>
      <c r="E16" s="1"/>
      <c r="F16" s="25" t="s">
        <v>34</v>
      </c>
      <c r="G16" s="26"/>
      <c r="H16" s="25"/>
      <c r="I16" s="1"/>
      <c r="J16" s="25" t="s">
        <v>34</v>
      </c>
      <c r="K16" s="27"/>
      <c r="L16" s="25"/>
      <c r="M16" s="26"/>
      <c r="N16" s="27"/>
      <c r="O16" s="28"/>
      <c r="P16" s="1"/>
      <c r="Q16" s="1"/>
    </row>
    <row r="17" ht="15.75" customHeight="1">
      <c r="A17" s="1"/>
      <c r="B17" s="39" t="s">
        <v>35</v>
      </c>
      <c r="C17" s="40"/>
      <c r="D17" s="1"/>
      <c r="E17" s="1"/>
      <c r="F17" s="16" t="s">
        <v>36</v>
      </c>
      <c r="G17" s="18">
        <v>4.2</v>
      </c>
      <c r="H17" s="41" t="s">
        <v>37</v>
      </c>
      <c r="I17" s="1"/>
      <c r="J17" s="16" t="s">
        <v>36</v>
      </c>
      <c r="K17" s="18">
        <v>1.5</v>
      </c>
      <c r="L17" s="9" t="s">
        <v>38</v>
      </c>
      <c r="M17" s="22"/>
      <c r="N17" s="21"/>
      <c r="O17" s="23"/>
      <c r="P17" s="1"/>
      <c r="Q17" s="1"/>
    </row>
    <row r="18">
      <c r="A18" s="1"/>
      <c r="B18" s="42" t="s">
        <v>39</v>
      </c>
      <c r="C18" s="43"/>
      <c r="D18" s="1"/>
      <c r="E18" s="1"/>
      <c r="F18" s="16" t="s">
        <v>40</v>
      </c>
      <c r="G18" s="18">
        <v>39.5</v>
      </c>
      <c r="H18" s="16" t="s">
        <v>41</v>
      </c>
      <c r="I18" s="1"/>
      <c r="J18" s="16" t="s">
        <v>40</v>
      </c>
      <c r="K18" s="18">
        <v>55.0</v>
      </c>
      <c r="L18" s="16" t="s">
        <v>42</v>
      </c>
      <c r="M18" s="1"/>
      <c r="N18" s="19"/>
      <c r="O18" s="29"/>
      <c r="P18" s="1"/>
      <c r="Q18" s="1"/>
    </row>
    <row r="19" ht="15.75" customHeight="1">
      <c r="A19" s="1"/>
      <c r="B19" s="44" t="s">
        <v>43</v>
      </c>
      <c r="C19" s="45"/>
      <c r="D19" s="1"/>
      <c r="E19" s="1"/>
      <c r="F19" s="16" t="s">
        <v>44</v>
      </c>
      <c r="G19" s="30">
        <f>10*LOG10(($G$18/100)*(PI()*$G$17/$G$15)^2)</f>
        <v>62.42916797</v>
      </c>
      <c r="H19" s="16" t="s">
        <v>45</v>
      </c>
      <c r="I19" s="1"/>
      <c r="J19" s="16" t="s">
        <v>44</v>
      </c>
      <c r="K19" s="30">
        <f>10*LOG10(($K$18/100)*(PI()*$K$17/$K$15)^2)</f>
        <v>52.88734211</v>
      </c>
      <c r="L19" s="16" t="s">
        <v>46</v>
      </c>
      <c r="M19" s="1"/>
      <c r="N19" s="19"/>
      <c r="O19" s="29"/>
      <c r="P19" s="1"/>
      <c r="Q19" s="1"/>
    </row>
    <row r="20" ht="15.75" customHeight="1">
      <c r="A20" s="1"/>
      <c r="B20" s="1"/>
      <c r="C20" s="1"/>
      <c r="D20" s="1"/>
      <c r="E20" s="1"/>
      <c r="F20" s="25" t="s">
        <v>47</v>
      </c>
      <c r="G20" s="26"/>
      <c r="H20" s="25"/>
      <c r="I20" s="1"/>
      <c r="J20" s="25" t="s">
        <v>48</v>
      </c>
      <c r="K20" s="26"/>
      <c r="L20" s="25"/>
      <c r="M20" s="26"/>
      <c r="N20" s="27"/>
      <c r="O20" s="28"/>
      <c r="P20" s="1"/>
      <c r="Q20" s="1"/>
    </row>
    <row r="21" ht="15.75" customHeight="1">
      <c r="A21" s="1"/>
      <c r="B21" s="1"/>
      <c r="C21" s="1"/>
      <c r="D21" s="1"/>
      <c r="E21" s="1"/>
      <c r="F21" s="16" t="s">
        <v>49</v>
      </c>
      <c r="G21" s="18">
        <v>0.0</v>
      </c>
      <c r="H21" s="16" t="s">
        <v>50</v>
      </c>
      <c r="I21" s="1"/>
      <c r="J21" s="16" t="s">
        <v>51</v>
      </c>
      <c r="K21" s="18">
        <v>280.0</v>
      </c>
      <c r="L21" s="16" t="s">
        <v>52</v>
      </c>
      <c r="M21" s="42" t="s">
        <v>53</v>
      </c>
      <c r="N21" s="20">
        <v>30.0</v>
      </c>
      <c r="O21" s="46" t="s">
        <v>54</v>
      </c>
      <c r="P21" s="1"/>
      <c r="Q21" s="1"/>
    </row>
    <row r="22" ht="15.75" customHeight="1">
      <c r="A22" s="1"/>
      <c r="B22" s="1"/>
      <c r="C22" s="1"/>
      <c r="D22" s="1"/>
      <c r="E22" s="1"/>
      <c r="F22" s="16" t="s">
        <v>55</v>
      </c>
      <c r="G22" s="18">
        <v>1.0</v>
      </c>
      <c r="H22" s="16" t="s">
        <v>56</v>
      </c>
      <c r="I22" s="1"/>
      <c r="J22" s="16" t="s">
        <v>57</v>
      </c>
      <c r="K22" s="18">
        <v>290.0</v>
      </c>
      <c r="L22" s="16" t="s">
        <v>58</v>
      </c>
      <c r="M22" s="42" t="s">
        <v>59</v>
      </c>
      <c r="N22" s="20">
        <v>0.7</v>
      </c>
      <c r="O22" s="46" t="s">
        <v>60</v>
      </c>
      <c r="P22" s="1"/>
      <c r="Q22" s="1"/>
    </row>
    <row r="23" ht="15.75" customHeight="1">
      <c r="A23" s="1"/>
      <c r="B23" s="1"/>
      <c r="C23" s="1"/>
      <c r="D23" s="1"/>
      <c r="E23" s="1"/>
      <c r="F23" s="16" t="s">
        <v>61</v>
      </c>
      <c r="G23" s="18">
        <v>1.6</v>
      </c>
      <c r="H23" s="16" t="s">
        <v>62</v>
      </c>
      <c r="I23" s="1"/>
      <c r="J23" s="16" t="s">
        <v>63</v>
      </c>
      <c r="K23" s="18">
        <v>3.0</v>
      </c>
      <c r="L23" s="16" t="s">
        <v>64</v>
      </c>
      <c r="M23" s="42" t="s">
        <v>65</v>
      </c>
      <c r="N23" s="31">
        <f>2.7/10^($N$22/10)+$K$21*(1-1/10^($N$22/10))</f>
        <v>43.97942201</v>
      </c>
      <c r="O23" s="46" t="s">
        <v>66</v>
      </c>
      <c r="P23" s="1"/>
      <c r="Q23" s="1"/>
    </row>
    <row r="24" ht="15.75" customHeight="1">
      <c r="A24" s="1"/>
      <c r="B24" s="1"/>
      <c r="C24" s="1"/>
      <c r="D24" s="1"/>
      <c r="E24" s="1"/>
      <c r="F24" s="16" t="s">
        <v>67</v>
      </c>
      <c r="G24" s="30">
        <f>20*LOG10(4*PI()*$G$10*1000/$G$15)</f>
        <v>217.5483671</v>
      </c>
      <c r="H24" s="16" t="s">
        <v>68</v>
      </c>
      <c r="I24" s="1"/>
      <c r="J24" s="16" t="s">
        <v>69</v>
      </c>
      <c r="K24" s="30">
        <f>290*(10^(K23/10)-1)</f>
        <v>288.6260713</v>
      </c>
      <c r="L24" s="16" t="s">
        <v>70</v>
      </c>
      <c r="M24" s="42" t="s">
        <v>71</v>
      </c>
      <c r="N24" s="31">
        <f>N23+N21</f>
        <v>73.97942201</v>
      </c>
      <c r="O24" s="46" t="s">
        <v>72</v>
      </c>
      <c r="P24" s="1"/>
      <c r="Q24" s="1"/>
    </row>
    <row r="25" ht="15.75" customHeight="1">
      <c r="A25" s="1"/>
      <c r="B25" s="1"/>
      <c r="C25" s="1"/>
      <c r="D25" s="1"/>
      <c r="E25" s="1"/>
      <c r="F25" s="25" t="s">
        <v>73</v>
      </c>
      <c r="G25" s="26"/>
      <c r="H25" s="25"/>
      <c r="I25" s="1"/>
      <c r="J25" s="16" t="s">
        <v>49</v>
      </c>
      <c r="K25" s="18">
        <v>0.5</v>
      </c>
      <c r="L25" s="16" t="s">
        <v>74</v>
      </c>
      <c r="M25" s="42" t="s">
        <v>75</v>
      </c>
      <c r="N25" s="31">
        <f>$N$24/10^($K$25/10)+$K$22*(1-1/10^($K$25/10))+$K$24</f>
        <v>386.0975285</v>
      </c>
      <c r="O25" s="46" t="s">
        <v>76</v>
      </c>
      <c r="P25" s="1"/>
      <c r="Q25" s="1"/>
    </row>
    <row r="26" ht="15.75" customHeight="1">
      <c r="A26" s="1"/>
      <c r="B26" s="1"/>
      <c r="C26" s="1"/>
      <c r="D26" s="1"/>
      <c r="E26" s="1"/>
      <c r="F26" s="16" t="s">
        <v>77</v>
      </c>
      <c r="G26" s="18">
        <v>14.91</v>
      </c>
      <c r="H26" s="16" t="s">
        <v>78</v>
      </c>
      <c r="I26" s="1"/>
      <c r="J26" s="16" t="s">
        <v>79</v>
      </c>
      <c r="K26" s="18">
        <v>1.0</v>
      </c>
      <c r="L26" s="16" t="s">
        <v>80</v>
      </c>
      <c r="M26" s="42" t="s">
        <v>81</v>
      </c>
      <c r="N26" s="31">
        <f>20*LOG10(4*PI()*$K$10*1000/K15)</f>
        <v>215.6304529</v>
      </c>
      <c r="O26" s="46" t="s">
        <v>82</v>
      </c>
      <c r="P26" s="1"/>
      <c r="Q26" s="1"/>
    </row>
    <row r="27" ht="15.75" customHeight="1">
      <c r="A27" s="1"/>
      <c r="B27" s="1"/>
      <c r="C27" s="1"/>
      <c r="D27" s="1"/>
      <c r="E27" s="1"/>
      <c r="F27" s="16" t="s">
        <v>83</v>
      </c>
      <c r="G27" s="30">
        <f>G26+G19-G21-G22</f>
        <v>76.33916797</v>
      </c>
      <c r="H27" s="17"/>
      <c r="I27" s="1"/>
      <c r="J27" s="25" t="s">
        <v>84</v>
      </c>
      <c r="K27" s="26"/>
      <c r="L27" s="25"/>
      <c r="M27" s="47"/>
      <c r="N27" s="27"/>
      <c r="O27" s="28"/>
      <c r="P27" s="1"/>
      <c r="Q27" s="1"/>
    </row>
    <row r="28" ht="15.75" customHeight="1">
      <c r="A28" s="1"/>
      <c r="B28" s="1"/>
      <c r="C28" s="1"/>
      <c r="D28" s="1"/>
      <c r="E28" s="1"/>
      <c r="F28" s="16" t="s">
        <v>85</v>
      </c>
      <c r="G28" s="30">
        <f>G27-$G$24-$G$23</f>
        <v>-142.8091991</v>
      </c>
      <c r="H28" s="16" t="s">
        <v>86</v>
      </c>
      <c r="I28" s="1"/>
      <c r="J28" s="16" t="s">
        <v>87</v>
      </c>
      <c r="K28" s="18">
        <v>69.0</v>
      </c>
      <c r="L28" s="17"/>
      <c r="M28" s="48"/>
      <c r="N28" s="19"/>
      <c r="O28" s="29"/>
      <c r="P28" s="1"/>
      <c r="Q28" s="1"/>
    </row>
    <row r="29" ht="15.75" customHeight="1">
      <c r="A29" s="1"/>
      <c r="B29" s="1"/>
      <c r="C29" s="1"/>
      <c r="D29" s="1"/>
      <c r="E29" s="1"/>
      <c r="F29" s="16" t="s">
        <v>88</v>
      </c>
      <c r="G29" s="18">
        <v>4.4</v>
      </c>
      <c r="H29" s="16" t="s">
        <v>89</v>
      </c>
      <c r="I29" s="1"/>
      <c r="J29" s="16" t="s">
        <v>88</v>
      </c>
      <c r="K29" s="30">
        <f>K19-K26-K25-10*LOG(N25)</f>
        <v>25.5203719</v>
      </c>
      <c r="L29" s="16" t="s">
        <v>90</v>
      </c>
      <c r="M29" s="48"/>
      <c r="N29" s="19"/>
      <c r="O29" s="29"/>
      <c r="P29" s="1"/>
      <c r="Q29" s="1"/>
    </row>
    <row r="30" ht="15.75" customHeight="1">
      <c r="A30" s="1"/>
      <c r="B30" s="1"/>
      <c r="C30" s="1"/>
      <c r="D30" s="1"/>
      <c r="E30" s="1"/>
      <c r="F30" s="25" t="s">
        <v>91</v>
      </c>
      <c r="G30" s="26"/>
      <c r="H30" s="25"/>
      <c r="I30" s="1"/>
      <c r="J30" s="16"/>
      <c r="K30" s="30"/>
      <c r="L30" s="17"/>
      <c r="M30" s="48"/>
      <c r="N30" s="19"/>
      <c r="O30" s="29"/>
      <c r="P30" s="1"/>
      <c r="Q30" s="1"/>
    </row>
    <row r="31" ht="15.75" customHeight="1">
      <c r="A31" s="1"/>
      <c r="B31" s="1"/>
      <c r="C31" s="1"/>
      <c r="D31" s="1"/>
      <c r="E31" s="1"/>
      <c r="F31" s="16" t="s">
        <v>92</v>
      </c>
      <c r="G31" s="18">
        <v>30.0</v>
      </c>
      <c r="H31" s="16" t="s">
        <v>93</v>
      </c>
      <c r="I31" s="1"/>
      <c r="J31" s="16" t="s">
        <v>92</v>
      </c>
      <c r="K31" s="18">
        <v>18.0</v>
      </c>
      <c r="L31" s="16" t="s">
        <v>94</v>
      </c>
      <c r="M31" s="48"/>
      <c r="N31" s="19"/>
      <c r="O31" s="29"/>
      <c r="P31" s="1"/>
      <c r="Q31" s="1"/>
    </row>
    <row r="32" ht="15.75" customHeight="1">
      <c r="A32" s="1"/>
      <c r="B32" s="1"/>
      <c r="C32" s="1"/>
      <c r="D32" s="1"/>
      <c r="E32" s="1"/>
      <c r="F32" s="16" t="s">
        <v>95</v>
      </c>
      <c r="G32" s="18">
        <v>23.0</v>
      </c>
      <c r="H32" s="16" t="s">
        <v>96</v>
      </c>
      <c r="I32" s="1"/>
      <c r="J32" s="16" t="s">
        <v>95</v>
      </c>
      <c r="K32" s="18">
        <v>21.0</v>
      </c>
      <c r="L32" s="16" t="s">
        <v>97</v>
      </c>
      <c r="M32" s="48"/>
      <c r="N32" s="19"/>
      <c r="O32" s="29"/>
      <c r="P32" s="1"/>
      <c r="Q32" s="1"/>
    </row>
    <row r="33" ht="15.75" customHeight="1">
      <c r="A33" s="1"/>
      <c r="B33" s="1"/>
      <c r="C33" s="1"/>
      <c r="D33" s="1"/>
      <c r="E33" s="1"/>
      <c r="F33" s="16" t="s">
        <v>98</v>
      </c>
      <c r="G33" s="30">
        <f>G27-G23-(10*LOG10(4*PI()*($G$10*1000)^2))</f>
        <v>-87.76188674</v>
      </c>
      <c r="H33" s="16" t="s">
        <v>99</v>
      </c>
      <c r="I33" s="1"/>
      <c r="J33" s="16" t="s">
        <v>98</v>
      </c>
      <c r="K33" s="30">
        <f>K28-N22-(10*LOG10(4*PI()*($K$10*1000)^2))</f>
        <v>-94.3194617</v>
      </c>
      <c r="L33" s="16" t="s">
        <v>100</v>
      </c>
      <c r="M33" s="48"/>
      <c r="N33" s="19"/>
      <c r="O33" s="29"/>
      <c r="P33" s="1"/>
      <c r="Q33" s="1"/>
    </row>
    <row r="34" ht="15.75" customHeight="1">
      <c r="A34" s="1"/>
      <c r="B34" s="1"/>
      <c r="C34" s="1"/>
      <c r="D34" s="1"/>
      <c r="E34" s="1"/>
      <c r="F34" s="16" t="s">
        <v>101</v>
      </c>
      <c r="G34" s="30">
        <f>G27-G23-G24+G29-(10*LOG10(1.38*10^-23))</f>
        <v>90.19201001</v>
      </c>
      <c r="H34" s="16" t="s">
        <v>102</v>
      </c>
      <c r="I34" s="1"/>
      <c r="J34" s="16" t="s">
        <v>101</v>
      </c>
      <c r="K34" s="30">
        <f>$K$28-30-$N$26-$N$22+$K$29-(10*LOG10(1.38*10^-23))</f>
        <v>76.79112811</v>
      </c>
      <c r="L34" s="16" t="s">
        <v>103</v>
      </c>
      <c r="M34" s="48"/>
      <c r="N34" s="19"/>
      <c r="O34" s="29"/>
      <c r="P34" s="1"/>
      <c r="Q34" s="1"/>
    </row>
    <row r="35" ht="15.75" customHeight="1">
      <c r="A35" s="1"/>
      <c r="B35" s="1"/>
      <c r="C35" s="1"/>
      <c r="D35" s="1"/>
      <c r="E35" s="1"/>
      <c r="F35" s="16" t="s">
        <v>104</v>
      </c>
      <c r="G35" s="30">
        <f>G34-10*LOG10($C$6*10^6)</f>
        <v>20.60593686</v>
      </c>
      <c r="H35" s="16" t="s">
        <v>105</v>
      </c>
      <c r="I35" s="1"/>
      <c r="J35" s="16" t="s">
        <v>104</v>
      </c>
      <c r="K35" s="30">
        <f>$K$28-30-$N$26-$N$22+$K$29-(10*LOG10(1.38*10^-23*$C$6*10^6))</f>
        <v>7.205054962</v>
      </c>
      <c r="L35" s="16" t="s">
        <v>106</v>
      </c>
      <c r="M35" s="48"/>
      <c r="N35" s="19"/>
      <c r="O35" s="29"/>
      <c r="P35" s="1"/>
      <c r="Q35" s="1"/>
    </row>
    <row r="36" ht="15.75" customHeight="1">
      <c r="A36" s="1"/>
      <c r="B36" s="1"/>
      <c r="C36" s="1"/>
      <c r="D36" s="1"/>
      <c r="E36" s="1"/>
      <c r="F36" s="16" t="s">
        <v>107</v>
      </c>
      <c r="G36" s="30">
        <f>10*LOG10(1/((1/(10^(G35/10)))+(1/(10^(G31/10)))+(1/(10^(G32/10)))))</f>
        <v>18.32398836</v>
      </c>
      <c r="H36" s="19"/>
      <c r="I36" s="1"/>
      <c r="J36" s="16" t="s">
        <v>107</v>
      </c>
      <c r="K36" s="30">
        <f>10*LOG10(1/((1/10^(K35/10))+(1/10^(K31/10))+(1/10^(K32/10))))</f>
        <v>6.693496019</v>
      </c>
      <c r="L36" s="19"/>
      <c r="M36" s="48"/>
      <c r="N36" s="19"/>
      <c r="O36" s="29"/>
      <c r="P36" s="1"/>
      <c r="Q36" s="1"/>
    </row>
    <row r="37" ht="15.75" customHeight="1">
      <c r="A37" s="1"/>
      <c r="B37" s="1"/>
      <c r="C37" s="1"/>
      <c r="D37" s="1"/>
      <c r="E37" s="1"/>
      <c r="F37" s="35" t="s">
        <v>108</v>
      </c>
      <c r="G37" s="50">
        <f>10*LOG10(1/((1/(10^(G34/10)))+(1/(10^(G31/10)))+(1/(10^(G32/10)))))</f>
        <v>22.20990181</v>
      </c>
      <c r="H37" s="51"/>
      <c r="I37" s="1"/>
      <c r="J37" s="35" t="s">
        <v>108</v>
      </c>
      <c r="K37" s="50">
        <f>10*LOG10(1/((1/10^(K34/10))+(1/10^(K31/10))+(1/10^(K32/10))))</f>
        <v>16.23564755</v>
      </c>
      <c r="L37" s="51"/>
      <c r="M37" s="52"/>
      <c r="N37" s="51"/>
      <c r="O37" s="53"/>
      <c r="P37" s="1"/>
      <c r="Q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1"/>
      <c r="B39" s="1"/>
      <c r="C39" s="1"/>
      <c r="D39" s="1"/>
      <c r="E39" s="1"/>
      <c r="F39" s="1"/>
      <c r="G39" s="1"/>
      <c r="H39" s="54" t="s">
        <v>109</v>
      </c>
      <c r="I39" s="55">
        <f>10*LOG10(1/((1/10^(G36/10))+(1/10^(K36/10))))</f>
        <v>6.404941763</v>
      </c>
      <c r="J39" s="56"/>
      <c r="K39" s="57"/>
      <c r="L39" s="1"/>
      <c r="M39" s="1"/>
      <c r="N39" s="1"/>
      <c r="O39" s="1"/>
      <c r="P39" s="1"/>
      <c r="Q39" s="1"/>
    </row>
    <row r="40" ht="15.75" customHeight="1">
      <c r="A40" s="1"/>
      <c r="B40" s="1"/>
      <c r="C40" s="1"/>
      <c r="D40" s="1"/>
      <c r="E40" s="1"/>
      <c r="F40" s="1"/>
      <c r="G40" s="1"/>
      <c r="H40" s="58"/>
      <c r="I40" s="59"/>
      <c r="J40" s="60"/>
      <c r="K40" s="61"/>
      <c r="L40" s="1"/>
      <c r="M40" s="1"/>
      <c r="N40" s="1"/>
      <c r="O40" s="1"/>
      <c r="P40" s="1"/>
      <c r="Q40" s="1"/>
    </row>
    <row r="41" ht="15.75" customHeight="1">
      <c r="A41" s="1"/>
      <c r="B41" s="1"/>
      <c r="C41" s="1"/>
      <c r="D41" s="1"/>
      <c r="E41" s="1"/>
      <c r="F41" s="1"/>
      <c r="G41" s="1"/>
      <c r="H41" s="54" t="s">
        <v>110</v>
      </c>
      <c r="I41" s="55">
        <f>I39-C14</f>
        <v>8.454941763</v>
      </c>
      <c r="J41" s="56"/>
      <c r="K41" s="57"/>
      <c r="L41" s="1"/>
      <c r="M41" s="1"/>
      <c r="N41" s="1"/>
      <c r="O41" s="1"/>
      <c r="P41" s="1"/>
      <c r="Q41" s="1"/>
    </row>
    <row r="42" ht="15.75" customHeight="1">
      <c r="A42" s="1"/>
      <c r="B42" s="1"/>
      <c r="C42" s="1"/>
      <c r="D42" s="1"/>
      <c r="E42" s="1"/>
      <c r="F42" s="1"/>
      <c r="G42" s="1"/>
      <c r="H42" s="58"/>
      <c r="I42" s="59"/>
      <c r="J42" s="60"/>
      <c r="K42" s="61"/>
      <c r="L42" s="1"/>
      <c r="M42" s="1"/>
      <c r="N42" s="1"/>
      <c r="O42" s="1"/>
      <c r="P42" s="1"/>
      <c r="Q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H39:H40"/>
    <mergeCell ref="I39:K40"/>
    <mergeCell ref="H41:H42"/>
    <mergeCell ref="I41:K42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3.14"/>
    <col customWidth="1" min="3" max="3" width="12.0"/>
    <col customWidth="1" min="4" max="4" width="8.71"/>
    <col customWidth="1" min="5" max="5" width="14.29"/>
    <col customWidth="1" min="6" max="6" width="12.0"/>
    <col customWidth="1" min="7" max="7" width="31.43"/>
    <col customWidth="1" min="8" max="8" width="8.71"/>
    <col customWidth="1" min="9" max="9" width="23.29"/>
    <col customWidth="1" min="10" max="10" width="12.0"/>
    <col customWidth="1" min="11" max="11" width="8.71"/>
    <col customWidth="1" min="12" max="12" width="23.29"/>
    <col customWidth="1" min="13" max="13" width="12.0"/>
    <col customWidth="1" min="14" max="17" width="8.71"/>
    <col customWidth="1" min="18" max="26" width="17.29"/>
  </cols>
  <sheetData>
    <row r="1" ht="15.75" customHeight="1">
      <c r="B1" s="62"/>
      <c r="C1" s="63"/>
      <c r="D1" s="63"/>
      <c r="E1" s="63"/>
    </row>
    <row r="2" ht="15.75" customHeight="1">
      <c r="B2" s="64" t="s">
        <v>111</v>
      </c>
      <c r="C2" s="65"/>
      <c r="D2" s="65"/>
      <c r="E2" s="65"/>
      <c r="F2" s="65"/>
      <c r="G2" s="66"/>
      <c r="I2" s="67" t="s">
        <v>112</v>
      </c>
      <c r="J2" s="66"/>
      <c r="L2" s="67" t="s">
        <v>113</v>
      </c>
      <c r="M2" s="65"/>
      <c r="N2" s="65"/>
      <c r="O2" s="65"/>
      <c r="P2" s="65"/>
      <c r="Q2" s="66"/>
    </row>
    <row r="3">
      <c r="B3" s="68" t="s">
        <v>114</v>
      </c>
      <c r="C3" s="69">
        <v>38.0</v>
      </c>
      <c r="D3" s="70"/>
      <c r="E3" s="68" t="s">
        <v>51</v>
      </c>
      <c r="F3" s="71">
        <v>280.0</v>
      </c>
      <c r="G3" s="9" t="s">
        <v>115</v>
      </c>
      <c r="I3" s="9" t="s">
        <v>116</v>
      </c>
      <c r="J3" s="38">
        <v>76.3</v>
      </c>
      <c r="L3" s="9" t="s">
        <v>117</v>
      </c>
      <c r="M3" s="72">
        <v>56.4</v>
      </c>
      <c r="N3" s="22"/>
      <c r="O3" s="22"/>
      <c r="P3" s="22"/>
      <c r="Q3" s="23"/>
    </row>
    <row r="4" ht="15.75" customHeight="1">
      <c r="B4" s="73" t="s">
        <v>118</v>
      </c>
      <c r="C4" s="63">
        <f>299792458/(C3*1000000000)</f>
        <v>0.007889275211</v>
      </c>
      <c r="D4" s="74"/>
      <c r="E4" s="73" t="s">
        <v>57</v>
      </c>
      <c r="F4" s="71">
        <v>290.0</v>
      </c>
      <c r="G4" s="16" t="s">
        <v>119</v>
      </c>
      <c r="I4" s="16" t="s">
        <v>3</v>
      </c>
      <c r="J4" s="20">
        <v>20.0</v>
      </c>
      <c r="L4" s="16" t="s">
        <v>120</v>
      </c>
      <c r="M4" s="75">
        <v>11.7</v>
      </c>
      <c r="N4" s="1"/>
      <c r="O4" s="1"/>
      <c r="P4" s="1"/>
      <c r="Q4" s="29"/>
    </row>
    <row r="5" ht="15.75" customHeight="1">
      <c r="B5" s="73" t="s">
        <v>121</v>
      </c>
      <c r="C5" s="76">
        <v>4.2</v>
      </c>
      <c r="D5" s="74"/>
      <c r="E5" s="73" t="s">
        <v>53</v>
      </c>
      <c r="F5" s="71">
        <v>30.0</v>
      </c>
      <c r="G5" s="16" t="s">
        <v>122</v>
      </c>
      <c r="I5" s="32" t="s">
        <v>117</v>
      </c>
      <c r="J5" s="77">
        <f>10*LOG10(10^(J3/10)/J4)</f>
        <v>63.28970004</v>
      </c>
      <c r="L5" s="16" t="s">
        <v>3</v>
      </c>
      <c r="M5" s="20">
        <v>20.0</v>
      </c>
      <c r="N5" s="1"/>
      <c r="O5" s="1"/>
      <c r="P5" s="1"/>
      <c r="Q5" s="29"/>
    </row>
    <row r="6" ht="15.75" customHeight="1">
      <c r="B6" s="73" t="s">
        <v>123</v>
      </c>
      <c r="C6" s="69">
        <v>55.0</v>
      </c>
      <c r="D6" s="74"/>
      <c r="E6" s="73" t="s">
        <v>59</v>
      </c>
      <c r="F6" s="71">
        <v>0.6</v>
      </c>
      <c r="G6" s="16" t="s">
        <v>124</v>
      </c>
      <c r="L6" s="16" t="s">
        <v>114</v>
      </c>
      <c r="M6" s="20">
        <v>48.0</v>
      </c>
      <c r="N6" s="1"/>
      <c r="O6" s="1"/>
      <c r="P6" s="1"/>
      <c r="Q6" s="29"/>
    </row>
    <row r="7" ht="15.75" customHeight="1">
      <c r="B7" s="73" t="s">
        <v>125</v>
      </c>
      <c r="C7" s="63">
        <f>10*LOG10((C6/100)*(PI()*C5/C4)^2)</f>
        <v>61.87086803</v>
      </c>
      <c r="D7" s="74"/>
      <c r="E7" s="73" t="s">
        <v>65</v>
      </c>
      <c r="F7" s="78">
        <f>2.7/10^(F6/10)+F3*(1-1/10^(F6/10))</f>
        <v>38.48179651</v>
      </c>
      <c r="G7" s="16" t="s">
        <v>126</v>
      </c>
      <c r="I7" s="67" t="s">
        <v>127</v>
      </c>
      <c r="J7" s="66"/>
      <c r="L7" s="16" t="s">
        <v>128</v>
      </c>
      <c r="M7" s="20">
        <v>55.0</v>
      </c>
      <c r="N7" s="1"/>
      <c r="O7" s="1"/>
      <c r="P7" s="1"/>
      <c r="Q7" s="29"/>
    </row>
    <row r="8">
      <c r="B8" s="79"/>
      <c r="C8" s="80"/>
      <c r="D8" s="74"/>
      <c r="E8" s="16" t="s">
        <v>49</v>
      </c>
      <c r="F8" s="71">
        <v>0.5</v>
      </c>
      <c r="G8" s="16" t="s">
        <v>129</v>
      </c>
      <c r="I8" s="9" t="s">
        <v>117</v>
      </c>
      <c r="J8" s="38">
        <v>63.29</v>
      </c>
      <c r="L8" s="16" t="s">
        <v>116</v>
      </c>
      <c r="M8" s="31">
        <f>10*LOG10(10^(M3/10)*M5)</f>
        <v>69.41029996</v>
      </c>
      <c r="N8" s="1"/>
      <c r="O8" s="1"/>
      <c r="P8" s="1"/>
      <c r="Q8" s="29"/>
    </row>
    <row r="9" ht="15.75" customHeight="1">
      <c r="B9" s="79"/>
      <c r="C9" s="80"/>
      <c r="D9" s="74"/>
      <c r="E9" s="16" t="s">
        <v>79</v>
      </c>
      <c r="F9" s="71">
        <v>1.0</v>
      </c>
      <c r="G9" s="16" t="s">
        <v>130</v>
      </c>
      <c r="I9" s="16" t="s">
        <v>3</v>
      </c>
      <c r="J9" s="20">
        <v>20.0</v>
      </c>
      <c r="L9" s="16" t="s">
        <v>131</v>
      </c>
      <c r="M9" s="31">
        <f>M8-M4</f>
        <v>57.71029996</v>
      </c>
      <c r="N9" s="1"/>
      <c r="O9" s="1"/>
      <c r="P9" s="1"/>
      <c r="Q9" s="29"/>
    </row>
    <row r="10" ht="15.75" customHeight="1">
      <c r="B10" s="79"/>
      <c r="C10" s="80"/>
      <c r="D10" s="74"/>
      <c r="E10" s="81" t="s">
        <v>71</v>
      </c>
      <c r="F10" s="78">
        <f>F7+F5</f>
        <v>68.48179651</v>
      </c>
      <c r="G10" s="16" t="s">
        <v>132</v>
      </c>
      <c r="I10" s="32" t="s">
        <v>116</v>
      </c>
      <c r="J10" s="77">
        <f>10*LOG10(10^(J8/10)*J9)</f>
        <v>76.30029996</v>
      </c>
      <c r="L10" s="32" t="s">
        <v>121</v>
      </c>
      <c r="M10" s="77">
        <f>((3/(M6*10))/PI())*SQRT((10^(M9/10)/(M7/100)))</f>
        <v>2.060932641</v>
      </c>
      <c r="N10" s="82"/>
      <c r="O10" s="82"/>
      <c r="P10" s="82"/>
      <c r="Q10" s="53"/>
    </row>
    <row r="11" ht="15.75" customHeight="1">
      <c r="B11" s="19"/>
      <c r="C11" s="1"/>
      <c r="D11" s="19"/>
      <c r="E11" s="35" t="s">
        <v>133</v>
      </c>
      <c r="F11" s="83">
        <v>33.45</v>
      </c>
      <c r="G11" s="84" t="s">
        <v>134</v>
      </c>
    </row>
    <row r="12" ht="15.75" customHeight="1">
      <c r="B12" s="19"/>
      <c r="C12" s="1"/>
      <c r="D12" s="19"/>
      <c r="E12" s="85" t="s">
        <v>135</v>
      </c>
      <c r="F12" s="86">
        <f>10^((-F11+C7-F9-F8)/10)-(F10/10^(F8/10)+F4*(1-1/10^(F8/10)))</f>
        <v>399.5661968</v>
      </c>
      <c r="G12" s="87" t="s">
        <v>136</v>
      </c>
      <c r="L12" s="67" t="s">
        <v>137</v>
      </c>
      <c r="M12" s="65"/>
      <c r="N12" s="65"/>
      <c r="O12" s="65"/>
      <c r="P12" s="65"/>
      <c r="Q12" s="66"/>
    </row>
    <row r="13" ht="15.75" customHeight="1">
      <c r="B13" s="51"/>
      <c r="C13" s="82"/>
      <c r="D13" s="51"/>
      <c r="E13" s="88" t="s">
        <v>138</v>
      </c>
      <c r="F13" s="89">
        <f>10*LOG10((F4+F12)/F4)</f>
        <v>3.761779659</v>
      </c>
      <c r="G13" s="90" t="s">
        <v>139</v>
      </c>
      <c r="L13" s="9" t="s">
        <v>117</v>
      </c>
      <c r="M13" s="72">
        <v>63.29</v>
      </c>
      <c r="N13" s="22"/>
      <c r="O13" s="22"/>
      <c r="P13" s="22"/>
      <c r="Q13" s="23"/>
    </row>
    <row r="14" ht="15.75" customHeight="1">
      <c r="L14" s="16" t="s">
        <v>3</v>
      </c>
      <c r="M14" s="20">
        <v>20.0</v>
      </c>
      <c r="N14" s="1"/>
      <c r="O14" s="1"/>
      <c r="P14" s="1"/>
      <c r="Q14" s="29"/>
    </row>
    <row r="15" ht="15.75" customHeight="1">
      <c r="B15" s="64" t="s">
        <v>140</v>
      </c>
      <c r="C15" s="65"/>
      <c r="D15" s="65"/>
      <c r="E15" s="65"/>
      <c r="F15" s="65"/>
      <c r="G15" s="66"/>
      <c r="L15" s="16" t="s">
        <v>116</v>
      </c>
      <c r="M15" s="31">
        <f>10*LOG10(10^(M13/10)*M14)</f>
        <v>76.30029996</v>
      </c>
      <c r="N15" s="1"/>
      <c r="O15" s="1"/>
      <c r="P15" s="1"/>
      <c r="Q15" s="29"/>
    </row>
    <row r="16">
      <c r="B16" s="91" t="s">
        <v>114</v>
      </c>
      <c r="C16" s="92">
        <v>38.0</v>
      </c>
      <c r="D16" s="93"/>
      <c r="E16" s="68" t="s">
        <v>51</v>
      </c>
      <c r="F16" s="94">
        <v>280.0</v>
      </c>
      <c r="G16" s="9" t="s">
        <v>115</v>
      </c>
      <c r="L16" s="16" t="s">
        <v>141</v>
      </c>
      <c r="M16" s="75">
        <v>4.555791</v>
      </c>
      <c r="N16" s="1"/>
      <c r="O16" s="1"/>
      <c r="P16" s="1"/>
      <c r="Q16" s="29"/>
    </row>
    <row r="17" ht="15.75" customHeight="1">
      <c r="B17" s="95" t="s">
        <v>118</v>
      </c>
      <c r="C17" s="96">
        <f>299792458/(C16*1000000000)</f>
        <v>0.007889275211</v>
      </c>
      <c r="D17" s="80"/>
      <c r="E17" s="73" t="s">
        <v>57</v>
      </c>
      <c r="F17" s="71">
        <v>290.0</v>
      </c>
      <c r="G17" s="16" t="s">
        <v>119</v>
      </c>
      <c r="L17" s="16" t="s">
        <v>128</v>
      </c>
      <c r="M17" s="20">
        <v>55.0</v>
      </c>
      <c r="N17" s="1"/>
      <c r="O17" s="1"/>
      <c r="P17" s="1"/>
      <c r="Q17" s="29"/>
    </row>
    <row r="18" ht="15.75" customHeight="1">
      <c r="B18" s="97" t="s">
        <v>121</v>
      </c>
      <c r="C18" s="98">
        <f>(C17/PI())*SQRT((10^(C20/10)/(C19/100)))</f>
        <v>9.038692218</v>
      </c>
      <c r="D18" s="80"/>
      <c r="E18" s="73" t="s">
        <v>53</v>
      </c>
      <c r="F18" s="71">
        <v>30.0</v>
      </c>
      <c r="G18" s="16" t="s">
        <v>122</v>
      </c>
      <c r="L18" s="16" t="s">
        <v>114</v>
      </c>
      <c r="M18" s="20">
        <v>48.0</v>
      </c>
      <c r="N18" s="1"/>
      <c r="O18" s="1"/>
      <c r="P18" s="1"/>
      <c r="Q18" s="29"/>
    </row>
    <row r="19" ht="15.75" customHeight="1">
      <c r="B19" s="95" t="s">
        <v>123</v>
      </c>
      <c r="C19" s="99">
        <v>55.0</v>
      </c>
      <c r="D19" s="80"/>
      <c r="E19" s="73" t="s">
        <v>59</v>
      </c>
      <c r="F19" s="71">
        <v>0.6</v>
      </c>
      <c r="G19" s="16" t="s">
        <v>124</v>
      </c>
      <c r="L19" s="16" t="s">
        <v>125</v>
      </c>
      <c r="M19" s="31">
        <f>10*LOG10((M17/100)*(PI()*M16/(3/(M18*10)))^2)</f>
        <v>64.60029985</v>
      </c>
      <c r="N19" s="1"/>
      <c r="O19" s="1"/>
      <c r="P19" s="1"/>
      <c r="Q19" s="29"/>
    </row>
    <row r="20" ht="15.75" customHeight="1">
      <c r="B20" s="97" t="s">
        <v>125</v>
      </c>
      <c r="C20" s="98">
        <f>F24+F21+F22+10*LOG10((F23/10^(F21/10)+F17*(1-1/10^(F21/10)))+F26)</f>
        <v>68.52799419</v>
      </c>
      <c r="D20" s="80"/>
      <c r="E20" s="73" t="s">
        <v>65</v>
      </c>
      <c r="F20" s="78">
        <f>2.7/10^(F19/10)+F16*(1-1/10^(F19/10))</f>
        <v>38.48179651</v>
      </c>
      <c r="G20" s="16" t="s">
        <v>126</v>
      </c>
      <c r="L20" s="32" t="s">
        <v>120</v>
      </c>
      <c r="M20" s="77">
        <f>M15-M19</f>
        <v>11.70000011</v>
      </c>
      <c r="N20" s="82"/>
      <c r="O20" s="82"/>
      <c r="P20" s="82"/>
      <c r="Q20" s="53"/>
    </row>
    <row r="21" ht="15.75" customHeight="1">
      <c r="B21" s="95"/>
      <c r="C21" s="74"/>
      <c r="D21" s="80"/>
      <c r="E21" s="16" t="s">
        <v>49</v>
      </c>
      <c r="F21" s="71">
        <v>0.5</v>
      </c>
      <c r="G21" s="16" t="s">
        <v>129</v>
      </c>
    </row>
    <row r="22" ht="15.75" customHeight="1">
      <c r="B22" s="95"/>
      <c r="C22" s="74"/>
      <c r="D22" s="80"/>
      <c r="E22" s="16" t="s">
        <v>79</v>
      </c>
      <c r="F22" s="71">
        <v>1.0</v>
      </c>
      <c r="G22" s="16" t="s">
        <v>130</v>
      </c>
    </row>
    <row r="23" ht="15.75" customHeight="1">
      <c r="B23" s="95"/>
      <c r="C23" s="74"/>
      <c r="D23" s="80"/>
      <c r="E23" s="81" t="s">
        <v>71</v>
      </c>
      <c r="F23" s="78">
        <f>F20+F18</f>
        <v>68.48179651</v>
      </c>
      <c r="G23" s="16" t="s">
        <v>132</v>
      </c>
    </row>
    <row r="24" ht="15.75" customHeight="1">
      <c r="B24" s="31"/>
      <c r="C24" s="19"/>
      <c r="D24" s="1"/>
      <c r="E24" s="16" t="s">
        <v>133</v>
      </c>
      <c r="F24" s="83">
        <v>42.0</v>
      </c>
      <c r="G24" s="73" t="s">
        <v>134</v>
      </c>
    </row>
    <row r="25" ht="15.75" customHeight="1">
      <c r="B25" s="31"/>
      <c r="C25" s="19"/>
      <c r="D25" s="1"/>
      <c r="E25" s="16" t="s">
        <v>142</v>
      </c>
      <c r="F25" s="83">
        <v>2.5</v>
      </c>
      <c r="G25" s="16" t="s">
        <v>143</v>
      </c>
    </row>
    <row r="26" ht="15.75" customHeight="1">
      <c r="B26" s="45"/>
      <c r="C26" s="51"/>
      <c r="D26" s="82"/>
      <c r="E26" s="35" t="s">
        <v>144</v>
      </c>
      <c r="F26" s="100">
        <f>290*(10^(F25/10)-1)</f>
        <v>225.7010289</v>
      </c>
      <c r="G26" s="35" t="s">
        <v>145</v>
      </c>
    </row>
    <row r="27" ht="15.75" customHeight="1">
      <c r="B27" s="62"/>
      <c r="C27" s="63"/>
      <c r="D27" s="63"/>
      <c r="E27" s="63"/>
    </row>
    <row r="28" ht="15.75" customHeight="1">
      <c r="B28" s="62"/>
      <c r="C28" s="63"/>
      <c r="D28" s="63"/>
      <c r="E28" s="63"/>
    </row>
    <row r="29" ht="15.75" customHeight="1">
      <c r="B29" s="62"/>
      <c r="C29" s="63"/>
      <c r="D29" s="63"/>
      <c r="E29" s="63"/>
    </row>
    <row r="30" ht="15.75" customHeight="1">
      <c r="B30" s="62"/>
      <c r="C30" s="63"/>
      <c r="D30" s="63"/>
      <c r="E30" s="63"/>
    </row>
    <row r="31" ht="15.75" customHeight="1">
      <c r="B31" s="62"/>
      <c r="C31" s="63"/>
      <c r="D31" s="63"/>
      <c r="E31" s="63"/>
    </row>
    <row r="32" ht="15.75" customHeight="1">
      <c r="B32" s="62"/>
      <c r="C32" s="63"/>
      <c r="D32" s="63"/>
      <c r="E32" s="63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15:G15"/>
    <mergeCell ref="B2:G2"/>
    <mergeCell ref="I2:J2"/>
    <mergeCell ref="L2:Q2"/>
    <mergeCell ref="I7:J7"/>
    <mergeCell ref="L12:Q12"/>
  </mergeCells>
  <printOptions/>
  <pageMargins bottom="0.75" footer="0.0" header="0.0" left="0.7" right="0.7" top="0.75"/>
  <pageSetup orientation="landscape"/>
  <drawing r:id="rId1"/>
</worksheet>
</file>