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z/Documents/DASSH/Analysis/orificing/unit_test/"/>
    </mc:Choice>
  </mc:AlternateContent>
  <xr:revisionPtr revIDLastSave="0" documentId="13_ncr:1_{22199402-ABAA-ED4D-8954-A6726B575F52}" xr6:coauthVersionLast="47" xr6:coauthVersionMax="47" xr10:uidLastSave="{00000000-0000-0000-0000-000000000000}"/>
  <bookViews>
    <workbookView xWindow="0" yWindow="460" windowWidth="38400" windowHeight="20000" activeTab="3" xr2:uid="{ECDE5AF7-12FD-C942-A9DC-96DDFD800A19}"/>
  </bookViews>
  <sheets>
    <sheet name="grouping" sheetId="1" r:id="rId1"/>
    <sheet name="iter-1 setup" sheetId="2" r:id="rId2"/>
    <sheet name="iter-2 setup" sheetId="3" r:id="rId3"/>
    <sheet name="iter-3 setup (converged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4" l="1"/>
  <c r="I10" i="4"/>
  <c r="I9" i="4"/>
  <c r="I8" i="4"/>
  <c r="I7" i="4"/>
  <c r="I4" i="4"/>
  <c r="I5" i="4"/>
  <c r="I3" i="4"/>
  <c r="B29" i="4" a="1"/>
  <c r="B29" i="4" s="1"/>
  <c r="B30" i="4" s="1"/>
  <c r="E75" i="3"/>
  <c r="F75" i="3"/>
  <c r="G75" i="3" s="1"/>
  <c r="E76" i="3"/>
  <c r="F76" i="3" s="1"/>
  <c r="G76" i="3" s="1"/>
  <c r="E77" i="3"/>
  <c r="F77" i="3"/>
  <c r="G77" i="3" s="1"/>
  <c r="E78" i="3"/>
  <c r="F78" i="3" s="1"/>
  <c r="G78" i="3" s="1"/>
  <c r="E79" i="3"/>
  <c r="E80" i="3"/>
  <c r="F80" i="3" s="1"/>
  <c r="E81" i="3"/>
  <c r="F81" i="3"/>
  <c r="G81" i="3" s="1"/>
  <c r="E86" i="3"/>
  <c r="F86" i="3" s="1"/>
  <c r="G86" i="3" s="1"/>
  <c r="E88" i="3"/>
  <c r="F88" i="3"/>
  <c r="G88" i="3"/>
  <c r="E89" i="3"/>
  <c r="F89" i="3"/>
  <c r="G89" i="3" s="1"/>
  <c r="E90" i="3"/>
  <c r="E91" i="3"/>
  <c r="E93" i="3" s="1"/>
  <c r="F91" i="3"/>
  <c r="E92" i="3"/>
  <c r="E94" i="3"/>
  <c r="E97" i="3"/>
  <c r="F97" i="3"/>
  <c r="G97" i="3" s="1"/>
  <c r="E99" i="3"/>
  <c r="F99" i="3"/>
  <c r="G99" i="3"/>
  <c r="E100" i="3"/>
  <c r="F100" i="3" s="1"/>
  <c r="G100" i="3" s="1"/>
  <c r="E101" i="3"/>
  <c r="E102" i="3"/>
  <c r="E104" i="3" s="1"/>
  <c r="E105" i="3" s="1"/>
  <c r="E106" i="3" s="1" a="1"/>
  <c r="E106" i="3" s="1"/>
  <c r="F102" i="3"/>
  <c r="G102" i="3"/>
  <c r="E103" i="3"/>
  <c r="F103" i="3"/>
  <c r="G103" i="3" s="1"/>
  <c r="E107" i="3" a="1"/>
  <c r="E107" i="3" s="1"/>
  <c r="E108" i="3"/>
  <c r="F108" i="3"/>
  <c r="G108" i="3"/>
  <c r="D88" i="3"/>
  <c r="D89" i="3"/>
  <c r="D90" i="3"/>
  <c r="D91" i="3"/>
  <c r="D92" i="3"/>
  <c r="D93" i="3"/>
  <c r="D94" i="3" s="1"/>
  <c r="D97" i="3"/>
  <c r="D99" i="3"/>
  <c r="D100" i="3"/>
  <c r="D101" i="3"/>
  <c r="D102" i="3"/>
  <c r="D104" i="3" s="1"/>
  <c r="D105" i="3" s="1"/>
  <c r="D107" i="3" s="1" a="1"/>
  <c r="D107" i="3" s="1"/>
  <c r="D103" i="3"/>
  <c r="D108" i="3"/>
  <c r="B89" i="3"/>
  <c r="D81" i="3"/>
  <c r="D75" i="3"/>
  <c r="D76" i="3"/>
  <c r="D77" i="3"/>
  <c r="D78" i="3"/>
  <c r="D80" i="3"/>
  <c r="D86" i="3"/>
  <c r="B109" i="3"/>
  <c r="B98" i="3"/>
  <c r="B87" i="3"/>
  <c r="C108" i="3"/>
  <c r="C97" i="3"/>
  <c r="B108" i="3"/>
  <c r="B97" i="3"/>
  <c r="B86" i="3"/>
  <c r="C86" i="3" s="1"/>
  <c r="B100" i="3"/>
  <c r="C100" i="3" s="1"/>
  <c r="B102" i="3"/>
  <c r="B91" i="3"/>
  <c r="B80" i="3"/>
  <c r="B81" i="3" s="1"/>
  <c r="C99" i="3"/>
  <c r="C88" i="3"/>
  <c r="B78" i="3"/>
  <c r="C78" i="3" s="1"/>
  <c r="C77" i="3"/>
  <c r="C75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53" i="3"/>
  <c r="B77" i="2"/>
  <c r="B67" i="2"/>
  <c r="B57" i="2"/>
  <c r="N48" i="3" a="1"/>
  <c r="N48" i="3" s="1"/>
  <c r="F48" i="3" a="1"/>
  <c r="F48" i="3" s="1"/>
  <c r="N47" i="3" a="1"/>
  <c r="N47" i="3" s="1"/>
  <c r="F47" i="3" a="1"/>
  <c r="F47" i="3" s="1"/>
  <c r="N46" i="3" a="1"/>
  <c r="N46" i="3" s="1"/>
  <c r="F46" i="3" a="1"/>
  <c r="F46" i="3" s="1"/>
  <c r="N45" i="3" a="1"/>
  <c r="N45" i="3" s="1"/>
  <c r="F45" i="3" a="1"/>
  <c r="F45" i="3" s="1"/>
  <c r="N44" i="3" a="1"/>
  <c r="N44" i="3" s="1"/>
  <c r="F44" i="3" a="1"/>
  <c r="F44" i="3" s="1"/>
  <c r="N43" i="3" a="1"/>
  <c r="N43" i="3" s="1"/>
  <c r="I69" i="3" s="1" a="1"/>
  <c r="I69" i="3" s="1"/>
  <c r="J69" i="3" s="1"/>
  <c r="F43" i="3" a="1"/>
  <c r="F43" i="3" s="1"/>
  <c r="N42" i="3" a="1"/>
  <c r="N42" i="3" s="1"/>
  <c r="F42" i="3" a="1"/>
  <c r="F42" i="3" s="1"/>
  <c r="N41" i="3" a="1"/>
  <c r="N41" i="3" s="1"/>
  <c r="F41" i="3" a="1"/>
  <c r="F41" i="3" s="1"/>
  <c r="N40" i="3" a="1"/>
  <c r="N40" i="3" s="1"/>
  <c r="F40" i="3" a="1"/>
  <c r="F40" i="3" s="1"/>
  <c r="N39" i="3" a="1"/>
  <c r="N39" i="3" s="1"/>
  <c r="F39" i="3" a="1"/>
  <c r="F39" i="3" s="1"/>
  <c r="N38" i="3" a="1"/>
  <c r="N38" i="3" s="1"/>
  <c r="F38" i="3" a="1"/>
  <c r="F38" i="3" s="1"/>
  <c r="B29" i="3" a="1"/>
  <c r="B29" i="3" s="1"/>
  <c r="B30" i="3" s="1"/>
  <c r="B6" i="2"/>
  <c r="B73" i="2" s="1"/>
  <c r="E49" i="2"/>
  <c r="F49" i="2"/>
  <c r="G49" i="2" s="1"/>
  <c r="E51" i="2"/>
  <c r="F51" i="2" s="1"/>
  <c r="G51" i="2" s="1"/>
  <c r="E52" i="2"/>
  <c r="F52" i="2" s="1"/>
  <c r="G52" i="2" s="1"/>
  <c r="E54" i="2"/>
  <c r="F54" i="2" s="1"/>
  <c r="E55" i="2"/>
  <c r="F55" i="2"/>
  <c r="G55" i="2" s="1"/>
  <c r="E61" i="2"/>
  <c r="F61" i="2"/>
  <c r="G61" i="2" s="1"/>
  <c r="E62" i="2"/>
  <c r="F62" i="2"/>
  <c r="G62" i="2" s="1"/>
  <c r="E64" i="2"/>
  <c r="F64" i="2" s="1"/>
  <c r="E65" i="2"/>
  <c r="E71" i="2"/>
  <c r="F71" i="2"/>
  <c r="G71" i="2" s="1"/>
  <c r="E72" i="2"/>
  <c r="F72" i="2" s="1"/>
  <c r="G72" i="2" s="1"/>
  <c r="E74" i="2"/>
  <c r="F74" i="2" s="1"/>
  <c r="E75" i="2"/>
  <c r="F75" i="2"/>
  <c r="G75" i="2" s="1"/>
  <c r="D61" i="2"/>
  <c r="D62" i="2"/>
  <c r="D64" i="2"/>
  <c r="D65" i="2"/>
  <c r="D71" i="2"/>
  <c r="D72" i="2"/>
  <c r="D74" i="2"/>
  <c r="D75" i="2"/>
  <c r="C72" i="2"/>
  <c r="B72" i="2"/>
  <c r="D49" i="2"/>
  <c r="D51" i="2"/>
  <c r="D52" i="2"/>
  <c r="D54" i="2"/>
  <c r="D55" i="2"/>
  <c r="C75" i="2"/>
  <c r="C74" i="2"/>
  <c r="C71" i="2"/>
  <c r="C65" i="2"/>
  <c r="C64" i="2"/>
  <c r="C62" i="2"/>
  <c r="C61" i="2"/>
  <c r="C55" i="2"/>
  <c r="C54" i="2"/>
  <c r="C52" i="2"/>
  <c r="C51" i="2"/>
  <c r="C49" i="2"/>
  <c r="B74" i="2"/>
  <c r="B75" i="2" s="1"/>
  <c r="B54" i="2"/>
  <c r="B55" i="2" s="1"/>
  <c r="B64" i="2"/>
  <c r="B65" i="2" s="1"/>
  <c r="B62" i="2"/>
  <c r="B52" i="2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N14" i="2" a="1"/>
  <c r="N14" i="2" s="1"/>
  <c r="N13" i="2" a="1"/>
  <c r="N13" i="2" s="1"/>
  <c r="N12" i="2" a="1"/>
  <c r="N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12" i="2" a="1"/>
  <c r="F12" i="2" s="1"/>
  <c r="K7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8" i="1"/>
  <c r="F8" i="1"/>
  <c r="E8" i="1"/>
  <c r="D8" i="1"/>
  <c r="B31" i="4" l="1"/>
  <c r="G80" i="3"/>
  <c r="E109" i="3"/>
  <c r="G91" i="3"/>
  <c r="E96" i="3" a="1"/>
  <c r="E96" i="3" s="1"/>
  <c r="E82" i="3"/>
  <c r="E83" i="3" s="1"/>
  <c r="E95" i="3" a="1"/>
  <c r="E95" i="3" s="1"/>
  <c r="F92" i="3"/>
  <c r="D95" i="3" a="1"/>
  <c r="D95" i="3" s="1"/>
  <c r="D98" i="3" s="1"/>
  <c r="D96" i="3" a="1"/>
  <c r="D96" i="3" s="1"/>
  <c r="D106" i="3" a="1"/>
  <c r="D106" i="3" s="1"/>
  <c r="D109" i="3" s="1"/>
  <c r="I59" i="3" a="1"/>
  <c r="I59" i="3" s="1"/>
  <c r="J59" i="3" s="1"/>
  <c r="I65" i="3" a="1"/>
  <c r="I65" i="3" s="1"/>
  <c r="J65" i="3" s="1"/>
  <c r="I64" i="3" a="1"/>
  <c r="I64" i="3" s="1"/>
  <c r="J64" i="3" s="1"/>
  <c r="I71" i="3" a="1"/>
  <c r="I71" i="3" s="1"/>
  <c r="J71" i="3" s="1"/>
  <c r="I63" i="3" a="1"/>
  <c r="I63" i="3" s="1"/>
  <c r="J63" i="3" s="1"/>
  <c r="I57" i="3" a="1"/>
  <c r="I57" i="3" s="1"/>
  <c r="J57" i="3" s="1"/>
  <c r="I53" i="3" a="1"/>
  <c r="I53" i="3" s="1"/>
  <c r="J53" i="3" s="1"/>
  <c r="I56" i="3" a="1"/>
  <c r="I56" i="3" s="1"/>
  <c r="J56" i="3" s="1"/>
  <c r="I55" i="3" a="1"/>
  <c r="I55" i="3" s="1"/>
  <c r="J55" i="3" s="1"/>
  <c r="I62" i="3" a="1"/>
  <c r="I62" i="3" s="1"/>
  <c r="J62" i="3" s="1"/>
  <c r="I54" i="3" a="1"/>
  <c r="I54" i="3" s="1"/>
  <c r="J54" i="3" s="1"/>
  <c r="I61" i="3" a="1"/>
  <c r="I61" i="3" s="1"/>
  <c r="J61" i="3" s="1"/>
  <c r="I68" i="3" a="1"/>
  <c r="I68" i="3" s="1"/>
  <c r="J68" i="3" s="1"/>
  <c r="I60" i="3" a="1"/>
  <c r="I60" i="3" s="1"/>
  <c r="J60" i="3" s="1"/>
  <c r="I67" i="3" a="1"/>
  <c r="I67" i="3" s="1"/>
  <c r="J67" i="3" s="1"/>
  <c r="I66" i="3" a="1"/>
  <c r="I66" i="3" s="1"/>
  <c r="J66" i="3" s="1"/>
  <c r="I58" i="3" a="1"/>
  <c r="I58" i="3" s="1"/>
  <c r="J58" i="3" s="1"/>
  <c r="B31" i="3"/>
  <c r="B76" i="3"/>
  <c r="C76" i="3" s="1"/>
  <c r="I70" i="3" a="1"/>
  <c r="I70" i="3" s="1"/>
  <c r="J70" i="3" s="1"/>
  <c r="B103" i="3"/>
  <c r="B92" i="3"/>
  <c r="C81" i="3"/>
  <c r="C91" i="3"/>
  <c r="C80" i="3"/>
  <c r="C102" i="3"/>
  <c r="G64" i="2"/>
  <c r="G54" i="2"/>
  <c r="G74" i="2"/>
  <c r="F65" i="2"/>
  <c r="B63" i="2"/>
  <c r="B66" i="2" s="1"/>
  <c r="B69" i="2" s="1" a="1"/>
  <c r="B69" i="2" s="1"/>
  <c r="B76" i="2"/>
  <c r="B78" i="2" s="1" a="1"/>
  <c r="B78" i="2" s="1"/>
  <c r="B53" i="2"/>
  <c r="B56" i="2" s="1"/>
  <c r="B58" i="2" s="1" a="1"/>
  <c r="B58" i="2" s="1"/>
  <c r="B50" i="2"/>
  <c r="C50" i="2" s="1"/>
  <c r="D50" i="2" s="1"/>
  <c r="E50" i="2" s="1"/>
  <c r="F50" i="2" s="1"/>
  <c r="G50" i="2" s="1"/>
  <c r="G92" i="3" l="1"/>
  <c r="E98" i="3"/>
  <c r="E85" i="3" a="1"/>
  <c r="E85" i="3" s="1"/>
  <c r="E84" i="3" a="1"/>
  <c r="E84" i="3" s="1"/>
  <c r="D111" i="3"/>
  <c r="D114" i="3" s="1"/>
  <c r="B90" i="3"/>
  <c r="B93" i="3" s="1"/>
  <c r="B94" i="3" s="1"/>
  <c r="B96" i="3" s="1" a="1"/>
  <c r="B96" i="3" s="1"/>
  <c r="B79" i="3"/>
  <c r="B82" i="3" s="1"/>
  <c r="B83" i="3" s="1"/>
  <c r="B84" i="3" s="1" a="1"/>
  <c r="B84" i="3" s="1"/>
  <c r="B101" i="3"/>
  <c r="B104" i="3" s="1"/>
  <c r="B105" i="3" s="1"/>
  <c r="B107" i="3" s="1" a="1"/>
  <c r="B107" i="3" s="1"/>
  <c r="C103" i="3"/>
  <c r="C92" i="3"/>
  <c r="G65" i="2"/>
  <c r="B68" i="2" a="1"/>
  <c r="B68" i="2" s="1"/>
  <c r="B59" i="2" a="1"/>
  <c r="B59" i="2" s="1"/>
  <c r="B79" i="2" a="1"/>
  <c r="B79" i="2" s="1"/>
  <c r="B80" i="2" s="1"/>
  <c r="E87" i="3" l="1"/>
  <c r="D113" i="3"/>
  <c r="D112" i="3"/>
  <c r="D116" i="3"/>
  <c r="D117" i="3" s="1"/>
  <c r="B95" i="3" a="1"/>
  <c r="B95" i="3" s="1"/>
  <c r="B85" i="3" a="1"/>
  <c r="B85" i="3" s="1"/>
  <c r="B106" i="3" a="1"/>
  <c r="B106" i="3" s="1"/>
  <c r="B60" i="2"/>
  <c r="B70" i="2"/>
  <c r="E111" i="3" l="1"/>
  <c r="E116" i="3" s="1"/>
  <c r="E117" i="3" s="1"/>
  <c r="E114" i="3" l="1"/>
  <c r="F101" i="3" s="1"/>
  <c r="E113" i="3"/>
  <c r="F90" i="3" s="1"/>
  <c r="E112" i="3"/>
  <c r="F79" i="3" s="1"/>
  <c r="F104" i="3" l="1"/>
  <c r="F105" i="3" s="1"/>
  <c r="F82" i="3"/>
  <c r="F83" i="3" s="1"/>
  <c r="F93" i="3"/>
  <c r="F94" i="3" s="1"/>
  <c r="B116" i="4" l="1"/>
  <c r="B117" i="4" s="1"/>
  <c r="F107" i="3" a="1"/>
  <c r="F107" i="3" s="1"/>
  <c r="F106" i="3" a="1"/>
  <c r="F106" i="3" s="1"/>
  <c r="F109" i="3" s="1"/>
  <c r="F96" i="3" a="1"/>
  <c r="F96" i="3" s="1"/>
  <c r="F95" i="3" a="1"/>
  <c r="F95" i="3" s="1"/>
  <c r="F98" i="3" s="1"/>
  <c r="F85" i="3" a="1"/>
  <c r="F85" i="3" s="1"/>
  <c r="F84" i="3" a="1"/>
  <c r="F84" i="3" s="1"/>
  <c r="F87" i="3" s="1"/>
  <c r="F111" i="3" l="1"/>
  <c r="F116" i="3" s="1"/>
  <c r="F117" i="3" s="1"/>
  <c r="F114" i="3"/>
  <c r="G101" i="3" s="1"/>
  <c r="F113" i="3"/>
  <c r="G90" i="3" s="1"/>
  <c r="F112" i="3" l="1"/>
  <c r="G79" i="3" s="1"/>
  <c r="G93" i="3"/>
  <c r="G94" i="3" s="1"/>
  <c r="G104" i="3"/>
  <c r="G105" i="3" s="1"/>
  <c r="G107" i="3" l="1" a="1"/>
  <c r="G107" i="3" s="1"/>
  <c r="G106" i="3" a="1"/>
  <c r="G106" i="3" s="1"/>
  <c r="G82" i="3"/>
  <c r="G83" i="3" s="1"/>
  <c r="G95" i="3" a="1"/>
  <c r="G95" i="3" s="1"/>
  <c r="G96" i="3" a="1"/>
  <c r="G96" i="3" s="1"/>
  <c r="G84" i="3" l="1" a="1"/>
  <c r="G84" i="3" s="1"/>
  <c r="G85" i="3" a="1"/>
  <c r="G85" i="3" s="1"/>
  <c r="G109" i="3"/>
  <c r="G98" i="3"/>
  <c r="C116" i="4" l="1"/>
  <c r="C117" i="4" s="1"/>
  <c r="G87" i="3"/>
  <c r="G111" i="3" l="1"/>
  <c r="G116" i="3" s="1"/>
  <c r="G117" i="3" s="1"/>
  <c r="G113" i="3" l="1"/>
  <c r="G114" i="3"/>
  <c r="G112" i="3"/>
  <c r="D116" i="4" l="1"/>
  <c r="D117" i="4" s="1"/>
  <c r="E116" i="4" l="1"/>
  <c r="E117" i="4" s="1"/>
  <c r="F116" i="4" l="1"/>
  <c r="F117" i="4" s="1"/>
  <c r="G116" i="4" l="1"/>
  <c r="G117" i="4" s="1"/>
  <c r="F7" i="1" l="1"/>
  <c r="E7" i="1"/>
  <c r="D7" i="1"/>
  <c r="G7" i="1" s="1"/>
  <c r="I7" i="1" s="1"/>
  <c r="G8" i="1" l="1"/>
  <c r="I8" i="1" s="1"/>
  <c r="J8" i="1" s="1"/>
  <c r="K8" i="1" l="1"/>
  <c r="D9" i="1"/>
  <c r="F9" i="1"/>
  <c r="E9" i="1"/>
  <c r="G9" i="1" l="1"/>
  <c r="I9" i="1" s="1"/>
  <c r="J9" i="1" s="1"/>
  <c r="K9" i="1" l="1"/>
  <c r="D10" i="1"/>
  <c r="E10" i="1"/>
  <c r="F10" i="1"/>
  <c r="G10" i="1" l="1"/>
  <c r="I10" i="1" s="1"/>
  <c r="J10" i="1" s="1"/>
  <c r="K10" i="1" l="1"/>
  <c r="E11" i="1"/>
  <c r="F11" i="1"/>
  <c r="D11" i="1"/>
  <c r="G11" i="1" l="1"/>
  <c r="I11" i="1" s="1"/>
  <c r="J11" i="1" s="1"/>
  <c r="K11" i="1" l="1"/>
  <c r="D12" i="1"/>
  <c r="E12" i="1"/>
  <c r="F12" i="1"/>
  <c r="G12" i="1" l="1"/>
  <c r="I12" i="1" s="1"/>
  <c r="J12" i="1" s="1"/>
  <c r="K12" i="1" l="1"/>
  <c r="F13" i="1"/>
  <c r="D13" i="1"/>
  <c r="E13" i="1"/>
  <c r="G13" i="1" l="1"/>
  <c r="I13" i="1" s="1"/>
  <c r="K13" i="1" l="1"/>
  <c r="J13" i="1"/>
  <c r="D14" i="1"/>
  <c r="F14" i="1"/>
  <c r="E14" i="1"/>
  <c r="G14" i="1" l="1"/>
  <c r="I14" i="1" s="1"/>
  <c r="K14" i="1" l="1"/>
  <c r="J14" i="1"/>
  <c r="F15" i="1"/>
  <c r="E15" i="1"/>
  <c r="D15" i="1"/>
  <c r="G15" i="1" l="1"/>
  <c r="I15" i="1" s="1"/>
  <c r="K15" i="1" l="1"/>
  <c r="J15" i="1"/>
  <c r="D16" i="1"/>
  <c r="F16" i="1"/>
  <c r="E16" i="1"/>
  <c r="G16" i="1" l="1"/>
  <c r="I16" i="1" s="1"/>
  <c r="K16" i="1" l="1"/>
  <c r="J16" i="1"/>
  <c r="E17" i="1"/>
  <c r="F17" i="1"/>
  <c r="D17" i="1"/>
  <c r="G17" i="1" l="1"/>
  <c r="I17" i="1" s="1"/>
  <c r="K17" i="1" l="1"/>
  <c r="J17" i="1"/>
  <c r="F18" i="1"/>
  <c r="E18" i="1"/>
  <c r="D18" i="1"/>
  <c r="G18" i="1" l="1"/>
  <c r="I18" i="1" s="1"/>
  <c r="K18" i="1" l="1"/>
  <c r="J18" i="1"/>
  <c r="D19" i="1"/>
  <c r="E19" i="1"/>
  <c r="F19" i="1"/>
  <c r="G19" i="1" l="1"/>
  <c r="I19" i="1" s="1"/>
  <c r="K19" i="1" l="1"/>
  <c r="J19" i="1"/>
  <c r="F20" i="1"/>
  <c r="E20" i="1"/>
  <c r="D20" i="1"/>
  <c r="G20" i="1" l="1"/>
  <c r="I20" i="1" s="1"/>
  <c r="K20" i="1" l="1"/>
  <c r="J20" i="1"/>
  <c r="E21" i="1"/>
  <c r="F21" i="1"/>
  <c r="D21" i="1"/>
  <c r="G21" i="1" l="1"/>
  <c r="I21" i="1" s="1"/>
  <c r="K21" i="1" l="1"/>
  <c r="J21" i="1"/>
  <c r="F22" i="1"/>
  <c r="D22" i="1"/>
  <c r="E22" i="1"/>
  <c r="G22" i="1" l="1"/>
  <c r="I22" i="1" s="1"/>
  <c r="K22" i="1" l="1"/>
  <c r="J22" i="1"/>
  <c r="F23" i="1"/>
  <c r="E23" i="1"/>
  <c r="D23" i="1"/>
  <c r="G23" i="1" l="1"/>
  <c r="I23" i="1" s="1"/>
  <c r="K23" i="1" l="1"/>
  <c r="J23" i="1"/>
  <c r="E24" i="1"/>
  <c r="D24" i="1"/>
  <c r="F24" i="1"/>
  <c r="G24" i="1" l="1"/>
  <c r="I24" i="1" s="1"/>
  <c r="K24" i="1" l="1"/>
  <c r="J24" i="1"/>
  <c r="E25" i="1"/>
  <c r="F25" i="1"/>
  <c r="D25" i="1"/>
  <c r="G25" i="1" l="1"/>
  <c r="I25" i="1" s="1"/>
  <c r="B4" i="1" l="1"/>
  <c r="J25" i="1"/>
  <c r="K25" i="1"/>
  <c r="B82" i="2" l="1"/>
  <c r="B85" i="2" s="1"/>
  <c r="C73" i="2" s="1"/>
  <c r="B84" i="2" l="1"/>
  <c r="C63" i="2" s="1"/>
  <c r="C76" i="2"/>
  <c r="B87" i="2"/>
  <c r="B88" i="2" s="1"/>
  <c r="B83" i="2"/>
  <c r="C53" i="2" s="1"/>
  <c r="C77" i="2" l="1"/>
  <c r="C78" i="2" s="1" a="1"/>
  <c r="C78" i="2" s="1"/>
  <c r="C66" i="2"/>
  <c r="C67" i="2" s="1"/>
  <c r="C56" i="2"/>
  <c r="C57" i="2" s="1"/>
  <c r="C79" i="2" l="1" a="1"/>
  <c r="C79" i="2" s="1"/>
  <c r="C80" i="2" s="1"/>
  <c r="C69" i="2" a="1"/>
  <c r="C69" i="2" s="1"/>
  <c r="C68" i="2" a="1"/>
  <c r="C68" i="2" s="1"/>
  <c r="C70" i="2" s="1"/>
  <c r="C58" i="2" a="1"/>
  <c r="C58" i="2" s="1"/>
  <c r="C59" i="2" a="1"/>
  <c r="C59" i="2" s="1"/>
  <c r="C60" i="2" l="1"/>
  <c r="C82" i="2"/>
  <c r="C84" i="2" l="1"/>
  <c r="D63" i="2" s="1"/>
  <c r="C85" i="2"/>
  <c r="D73" i="2" s="1"/>
  <c r="C83" i="2"/>
  <c r="D53" i="2" s="1"/>
  <c r="C87" i="2"/>
  <c r="C88" i="2" s="1"/>
  <c r="D76" i="2" l="1"/>
  <c r="D77" i="2" s="1"/>
  <c r="D56" i="2"/>
  <c r="D66" i="2"/>
  <c r="D67" i="2" s="1"/>
  <c r="D57" i="2" l="1"/>
  <c r="D58" i="2" s="1" a="1"/>
  <c r="D58" i="2" s="1"/>
  <c r="D79" i="2" a="1"/>
  <c r="D79" i="2" s="1"/>
  <c r="D78" i="2" a="1"/>
  <c r="D78" i="2" s="1"/>
  <c r="D68" i="2" a="1"/>
  <c r="D68" i="2" s="1"/>
  <c r="D69" i="2" a="1"/>
  <c r="D69" i="2" s="1"/>
  <c r="D59" i="2" l="1" a="1"/>
  <c r="D59" i="2" s="1"/>
  <c r="D60" i="2" s="1"/>
  <c r="D80" i="2"/>
  <c r="D70" i="2"/>
  <c r="D82" i="2" l="1"/>
  <c r="D85" i="2"/>
  <c r="E73" i="2" s="1"/>
  <c r="E76" i="2" s="1"/>
  <c r="E77" i="2" s="1"/>
  <c r="D87" i="2"/>
  <c r="D88" i="2" s="1"/>
  <c r="D83" i="2"/>
  <c r="E53" i="2" s="1"/>
  <c r="E56" i="2" s="1"/>
  <c r="E57" i="2" s="1"/>
  <c r="D84" i="2"/>
  <c r="E63" i="2" s="1"/>
  <c r="E66" i="2" s="1"/>
  <c r="E67" i="2" s="1"/>
  <c r="E59" i="2" l="1" a="1"/>
  <c r="E59" i="2" s="1"/>
  <c r="E58" i="2" a="1"/>
  <c r="E58" i="2" s="1"/>
  <c r="E60" i="2" s="1"/>
  <c r="E68" i="2" a="1"/>
  <c r="E68" i="2" s="1"/>
  <c r="E69" i="2" a="1"/>
  <c r="E69" i="2" s="1"/>
  <c r="E79" i="2" a="1"/>
  <c r="E79" i="2" s="1"/>
  <c r="E78" i="2" a="1"/>
  <c r="E78" i="2" s="1"/>
  <c r="E70" i="2" l="1"/>
  <c r="E80" i="2"/>
  <c r="E82" i="2" s="1"/>
  <c r="E84" i="2" s="1"/>
  <c r="F63" i="2" s="1"/>
  <c r="F66" i="2" s="1"/>
  <c r="F67" i="2" s="1"/>
  <c r="F68" i="2" l="1" a="1"/>
  <c r="F68" i="2" s="1"/>
  <c r="F69" i="2" a="1"/>
  <c r="F69" i="2" s="1"/>
  <c r="E87" i="2"/>
  <c r="E88" i="2" s="1"/>
  <c r="E83" i="2"/>
  <c r="F53" i="2" s="1"/>
  <c r="F56" i="2" s="1"/>
  <c r="F57" i="2" s="1"/>
  <c r="E85" i="2"/>
  <c r="F73" i="2" s="1"/>
  <c r="F76" i="2" s="1"/>
  <c r="F77" i="2" s="1"/>
  <c r="F78" i="2" l="1" a="1"/>
  <c r="F78" i="2" s="1"/>
  <c r="F79" i="2" a="1"/>
  <c r="F79" i="2" s="1"/>
  <c r="F59" i="2" a="1"/>
  <c r="F59" i="2" s="1"/>
  <c r="F58" i="2" a="1"/>
  <c r="F58" i="2" s="1"/>
  <c r="F70" i="2"/>
  <c r="F60" i="2" l="1"/>
  <c r="F80" i="2"/>
  <c r="F82" i="2" l="1"/>
  <c r="F85" i="2" s="1"/>
  <c r="G73" i="2" s="1"/>
  <c r="G76" i="2" l="1"/>
  <c r="G77" i="2" s="1"/>
  <c r="F84" i="2"/>
  <c r="G63" i="2" s="1"/>
  <c r="F87" i="2"/>
  <c r="F88" i="2" s="1"/>
  <c r="F83" i="2"/>
  <c r="G53" i="2" s="1"/>
  <c r="G56" i="2" l="1"/>
  <c r="G57" i="2" s="1"/>
  <c r="G78" i="2" a="1"/>
  <c r="G78" i="2" s="1"/>
  <c r="G79" i="2" a="1"/>
  <c r="G79" i="2" s="1"/>
  <c r="G66" i="2"/>
  <c r="G67" i="2" s="1"/>
  <c r="G80" i="2" l="1"/>
  <c r="G69" i="2" a="1"/>
  <c r="G69" i="2" s="1"/>
  <c r="G68" i="2" a="1"/>
  <c r="G68" i="2" s="1"/>
  <c r="G59" i="2" a="1"/>
  <c r="G59" i="2" s="1"/>
  <c r="G58" i="2" a="1"/>
  <c r="G58" i="2" s="1"/>
  <c r="G60" i="2" l="1"/>
  <c r="G70" i="2"/>
  <c r="G82" i="2"/>
  <c r="G84" i="2" l="1"/>
  <c r="G85" i="2"/>
  <c r="G83" i="2"/>
  <c r="G87" i="2"/>
  <c r="G88" i="2" s="1"/>
  <c r="B116" i="3" l="1"/>
  <c r="B117" i="3" s="1"/>
  <c r="C89" i="3"/>
  <c r="B112" i="3"/>
  <c r="C79" i="3"/>
  <c r="C82" i="3" s="1"/>
  <c r="C83" i="3" s="1"/>
  <c r="B111" i="3"/>
  <c r="B113" i="3" s="1"/>
  <c r="C90" i="3" s="1"/>
  <c r="C93" i="3" s="1"/>
  <c r="C94" i="3" s="1"/>
  <c r="C84" i="3" l="1" a="1"/>
  <c r="C84" i="3" s="1"/>
  <c r="C85" i="3" a="1"/>
  <c r="C85" i="3" s="1"/>
  <c r="C96" i="3" a="1"/>
  <c r="C96" i="3" s="1"/>
  <c r="C95" i="3" a="1"/>
  <c r="C95" i="3" s="1"/>
  <c r="C98" i="3" s="1"/>
  <c r="B114" i="3"/>
  <c r="C101" i="3" s="1"/>
  <c r="C104" i="3" s="1"/>
  <c r="C105" i="3" s="1"/>
  <c r="C106" i="3" l="1" a="1"/>
  <c r="C106" i="3" s="1"/>
  <c r="C107" i="3" a="1"/>
  <c r="C107" i="3" s="1"/>
  <c r="C87" i="3"/>
  <c r="C109" i="3" l="1"/>
  <c r="C111" i="3" l="1"/>
  <c r="C114" i="3"/>
  <c r="C113" i="3" l="1"/>
  <c r="C112" i="3"/>
  <c r="D79" i="3" s="1"/>
  <c r="D82" i="3" s="1"/>
  <c r="D83" i="3" s="1"/>
  <c r="C116" i="3"/>
  <c r="C117" i="3" s="1"/>
  <c r="D84" i="3" l="1" a="1"/>
  <c r="D84" i="3" s="1"/>
  <c r="D85" i="3" a="1"/>
  <c r="D85" i="3" s="1"/>
  <c r="D87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<sst xmlns="http://schemas.openxmlformats.org/spreadsheetml/2006/main" count="224" uniqueCount="69">
  <si>
    <t>Asm ID</t>
  </si>
  <si>
    <t>Power</t>
  </si>
  <si>
    <t>Peak (avg) Lin Power</t>
  </si>
  <si>
    <t>cutoff</t>
  </si>
  <si>
    <t>cutoff_delta</t>
  </si>
  <si>
    <t>Max</t>
  </si>
  <si>
    <t>Min</t>
  </si>
  <si>
    <t>Average</t>
  </si>
  <si>
    <t>(Max - Min) / Avg</t>
  </si>
  <si>
    <t>New Group?</t>
  </si>
  <si>
    <t>Row</t>
  </si>
  <si>
    <t>n_group</t>
  </si>
  <si>
    <t>Group start</t>
  </si>
  <si>
    <t>ITER</t>
  </si>
  <si>
    <t>Total FR</t>
  </si>
  <si>
    <t>Group 1 dTf</t>
  </si>
  <si>
    <t>Group 2 dTf</t>
  </si>
  <si>
    <t>Group 3 dTf</t>
  </si>
  <si>
    <t>Parameter</t>
  </si>
  <si>
    <t>Total power</t>
  </si>
  <si>
    <t>Cp (average)</t>
  </si>
  <si>
    <t>J/kg-K</t>
  </si>
  <si>
    <t>W</t>
  </si>
  <si>
    <t>Value</t>
  </si>
  <si>
    <t>Units</t>
  </si>
  <si>
    <t>Notes</t>
  </si>
  <si>
    <t>…in assemblies to be grouped</t>
  </si>
  <si>
    <t>Required FR</t>
  </si>
  <si>
    <t>Target dT</t>
  </si>
  <si>
    <t>K</t>
  </si>
  <si>
    <t>kg/s</t>
  </si>
  <si>
    <t>Avg FR</t>
  </si>
  <si>
    <t>Fuel-1 Parametric Data</t>
  </si>
  <si>
    <t>P/FR/1e6</t>
  </si>
  <si>
    <t>P (W)</t>
  </si>
  <si>
    <t>FR (kg/s)</t>
  </si>
  <si>
    <t>dP (Pa)</t>
  </si>
  <si>
    <t>T_fuel</t>
  </si>
  <si>
    <t>Fuel-2 Parametric Data</t>
  </si>
  <si>
    <t>Group</t>
  </si>
  <si>
    <t>Type</t>
  </si>
  <si>
    <t>From grouping calculation - information about assembly power</t>
  </si>
  <si>
    <t>m</t>
  </si>
  <si>
    <t>b</t>
  </si>
  <si>
    <t>Linear interpolation</t>
  </si>
  <si>
    <t>N_asm</t>
  </si>
  <si>
    <t>P Max / FR / 1e6</t>
  </si>
  <si>
    <t>Interp row</t>
  </si>
  <si>
    <t>P_max (W)</t>
  </si>
  <si>
    <t>Average T_fuel</t>
  </si>
  <si>
    <t>Inlet temp</t>
  </si>
  <si>
    <t>Convergence</t>
  </si>
  <si>
    <t>Done?</t>
  </si>
  <si>
    <t>Power (W)</t>
  </si>
  <si>
    <t>T_bulk (K)</t>
  </si>
  <si>
    <t>T_fuel (K)</t>
  </si>
  <si>
    <t>Results from running DASSH</t>
  </si>
  <si>
    <t>Avg bulk dT</t>
  </si>
  <si>
    <t>Multiplier</t>
  </si>
  <si>
    <t>FR previous</t>
  </si>
  <si>
    <t>T_fuel (res)</t>
  </si>
  <si>
    <t>T_fuel (guess)</t>
  </si>
  <si>
    <t>Ratio</t>
  </si>
  <si>
    <t>Converged?</t>
  </si>
  <si>
    <t>Diff (abs)</t>
  </si>
  <si>
    <t>Diff (rel)</t>
  </si>
  <si>
    <t>Tol</t>
  </si>
  <si>
    <t>Avg (max)</t>
  </si>
  <si>
    <t>Max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</si>
</sst>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0" formatCode="0.000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0" applyFont="1"/>
    <xf numFmtId="11" fontId="0" fillId="0" borderId="0" xfId="0" applyNumberFormat="1"/>
    <xf numFmtId="11" fontId="2" fillId="0" borderId="0" xfId="0" applyNumberFormat="1" applyFont="1"/>
    <xf numFmtId="0" fontId="0" fillId="0" borderId="0" xfId="0" applyFont="1"/>
    <xf numFmtId="0" fontId="2" fillId="0" borderId="0" xfId="0" applyFont="1"/>
    <xf numFmtId="170" fontId="0" fillId="0" borderId="0" xfId="0" applyNumberFormat="1"/>
    <xf numFmtId="2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3C3E-66EB-B448-8ADC-65C3A41D66B5}">
  <dimension ref="A2:K25"/>
  <sheetViews>
    <sheetView workbookViewId="0">
      <selection activeCell="B6" sqref="B6:B25"/>
    </sheetView>
  </sheetViews>
  <sheetFormatPr baseColWidth="10" defaultRowHeight="16" x14ac:dyDescent="0.2"/>
  <cols>
    <col min="2" max="2" width="12.1640625" bestFit="1" customWidth="1"/>
    <col min="3" max="3" width="18.33203125" bestFit="1" customWidth="1"/>
    <col min="7" max="7" width="15.6640625" bestFit="1" customWidth="1"/>
    <col min="8" max="8" width="4.83203125" bestFit="1" customWidth="1"/>
  </cols>
  <sheetData>
    <row r="2" spans="1:11" x14ac:dyDescent="0.2">
      <c r="A2" t="s">
        <v>3</v>
      </c>
      <c r="B2">
        <v>0.11</v>
      </c>
    </row>
    <row r="3" spans="1:11" x14ac:dyDescent="0.2">
      <c r="A3" t="s">
        <v>4</v>
      </c>
      <c r="B3">
        <v>1E-3</v>
      </c>
    </row>
    <row r="4" spans="1:11" x14ac:dyDescent="0.2">
      <c r="A4" t="s">
        <v>11</v>
      </c>
      <c r="B4" s="3">
        <f ca="1">SUM(I7:I25)+1</f>
        <v>3</v>
      </c>
    </row>
    <row r="6" spans="1:11" x14ac:dyDescent="0.2">
      <c r="A6" t="s">
        <v>0</v>
      </c>
      <c r="B6" t="s">
        <v>1</v>
      </c>
      <c r="C6" t="s">
        <v>2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9</v>
      </c>
      <c r="J6" t="s">
        <v>39</v>
      </c>
      <c r="K6" t="s">
        <v>12</v>
      </c>
    </row>
    <row r="7" spans="1:11" x14ac:dyDescent="0.2">
      <c r="A7">
        <v>0</v>
      </c>
      <c r="B7" s="2">
        <v>5360239.4927378697</v>
      </c>
      <c r="C7" s="2">
        <v>13840.3332953751</v>
      </c>
      <c r="D7" s="2">
        <f>MAX(C$7:C7)</f>
        <v>13840.3332953751</v>
      </c>
      <c r="E7" s="2">
        <f>MIN(C$7:C7)</f>
        <v>13840.3332953751</v>
      </c>
      <c r="F7" s="2">
        <f>AVERAGE(C$7:C7)</f>
        <v>13840.3332953751</v>
      </c>
      <c r="G7" s="4">
        <f>(D7-E7)/F7</f>
        <v>0</v>
      </c>
      <c r="H7" s="3">
        <v>1</v>
      </c>
      <c r="I7" s="3">
        <f>IF(G7&gt;B$2, 1, 0)</f>
        <v>0</v>
      </c>
      <c r="J7" s="3">
        <v>1</v>
      </c>
      <c r="K7" t="str">
        <f>ADDRESS(H7+6, 3)</f>
        <v>$C$7</v>
      </c>
    </row>
    <row r="8" spans="1:11" x14ac:dyDescent="0.2">
      <c r="A8">
        <v>2</v>
      </c>
      <c r="B8" s="2">
        <v>4831727.1010322999</v>
      </c>
      <c r="C8" s="2">
        <v>12474.9130773793</v>
      </c>
      <c r="D8" s="2">
        <f ca="1">MAX(INDIRECT(K7):C8)</f>
        <v>13840.3332953751</v>
      </c>
      <c r="E8" s="2">
        <f ca="1">MIN(INDIRECT(K7):C8)</f>
        <v>12474.9130773793</v>
      </c>
      <c r="F8" s="2">
        <f ca="1">AVERAGE(INDIRECT(K7):C8)</f>
        <v>13157.623186377201</v>
      </c>
      <c r="G8" s="4">
        <f ca="1">(D8-E8)/F8</f>
        <v>0.10377407824001926</v>
      </c>
      <c r="H8" s="3">
        <f>H7+1</f>
        <v>2</v>
      </c>
      <c r="I8" s="3">
        <f ca="1">IF(G8&gt;B$2, 1, 0)</f>
        <v>0</v>
      </c>
      <c r="J8" s="3">
        <f ca="1">I8+J7</f>
        <v>1</v>
      </c>
      <c r="K8" t="str">
        <f ca="1">IF(I8=0, K7, ADDRESS(H8+7,3))</f>
        <v>$C$7</v>
      </c>
    </row>
    <row r="9" spans="1:11" x14ac:dyDescent="0.2">
      <c r="A9">
        <v>4</v>
      </c>
      <c r="B9" s="2">
        <v>4831727.1010305202</v>
      </c>
      <c r="C9" s="2">
        <v>12474.9130773793</v>
      </c>
      <c r="D9" s="2">
        <f ca="1">MAX(INDIRECT(K8):C9)</f>
        <v>13840.3332953751</v>
      </c>
      <c r="E9" s="2">
        <f ca="1">MIN(INDIRECT(K8):C9)</f>
        <v>12474.9130773793</v>
      </c>
      <c r="F9" s="2">
        <f ca="1">AVERAGE(INDIRECT(K8):C9)</f>
        <v>12930.053150044567</v>
      </c>
      <c r="G9" s="4">
        <f ca="1">(D9-E9)/F9</f>
        <v>0.10560051085258633</v>
      </c>
      <c r="H9" s="3">
        <f t="shared" ref="H9:H25" si="0">H8+1</f>
        <v>3</v>
      </c>
      <c r="I9" s="3">
        <f ca="1">IF(G9&gt;B$2, 1, 0)</f>
        <v>0</v>
      </c>
      <c r="J9" s="3">
        <f t="shared" ref="J9:J25" ca="1" si="1">I9+J8</f>
        <v>1</v>
      </c>
      <c r="K9" t="str">
        <f ca="1">IF(I9=0, K8, ADDRESS(H9+7,3))</f>
        <v>$C$7</v>
      </c>
    </row>
    <row r="10" spans="1:11" x14ac:dyDescent="0.2">
      <c r="A10">
        <v>6</v>
      </c>
      <c r="B10" s="2">
        <v>4831727.1010322999</v>
      </c>
      <c r="C10" s="2">
        <v>12474.9130773793</v>
      </c>
      <c r="D10" s="2">
        <f ca="1">MAX(INDIRECT(K9):C10)</f>
        <v>13840.3332953751</v>
      </c>
      <c r="E10" s="2">
        <f ca="1">MIN(INDIRECT(K9):C10)</f>
        <v>12474.9130773793</v>
      </c>
      <c r="F10" s="2">
        <f ca="1">AVERAGE(INDIRECT(K9):C10)</f>
        <v>12816.268131878251</v>
      </c>
      <c r="G10" s="4">
        <f ca="1">(D10-E10)/F10</f>
        <v>0.10653805023004728</v>
      </c>
      <c r="H10" s="3">
        <f t="shared" si="0"/>
        <v>4</v>
      </c>
      <c r="I10" s="3">
        <f ca="1">IF(G10&gt;B$2, 1, 0)</f>
        <v>0</v>
      </c>
      <c r="J10" s="3">
        <f t="shared" ca="1" si="1"/>
        <v>1</v>
      </c>
      <c r="K10" t="str">
        <f ca="1">IF(I10=0, K9, ADDRESS(H10+7,3))</f>
        <v>$C$7</v>
      </c>
    </row>
    <row r="11" spans="1:11" x14ac:dyDescent="0.2">
      <c r="A11">
        <v>1</v>
      </c>
      <c r="B11" s="2">
        <v>4831726.2127321502</v>
      </c>
      <c r="C11" s="2">
        <v>12474.910972828</v>
      </c>
      <c r="D11" s="2">
        <f ca="1">MAX(INDIRECT(K10):C11)</f>
        <v>13840.3332953751</v>
      </c>
      <c r="E11" s="2">
        <f ca="1">MIN(INDIRECT(K10):C11)</f>
        <v>12474.910972828</v>
      </c>
      <c r="F11" s="2">
        <f ca="1">AVERAGE(INDIRECT(K10):C11)</f>
        <v>12747.996700068201</v>
      </c>
      <c r="G11" s="4">
        <f ca="1">(D11-E11)/F11</f>
        <v>0.10710877596475959</v>
      </c>
      <c r="H11" s="3">
        <f t="shared" si="0"/>
        <v>5</v>
      </c>
      <c r="I11" s="3">
        <f ca="1">IF(G11&gt;B$2, 1, 0)</f>
        <v>0</v>
      </c>
      <c r="J11" s="3">
        <f t="shared" ca="1" si="1"/>
        <v>1</v>
      </c>
      <c r="K11" t="str">
        <f ca="1">IF(I11=0, K10, ADDRESS(H11+7,3))</f>
        <v>$C$7</v>
      </c>
    </row>
    <row r="12" spans="1:11" x14ac:dyDescent="0.2">
      <c r="A12">
        <v>3</v>
      </c>
      <c r="B12" s="2">
        <v>4831726.2127342699</v>
      </c>
      <c r="C12" s="2">
        <v>12474.910972828</v>
      </c>
      <c r="D12" s="2">
        <f ca="1">MAX(INDIRECT(K11):C12)</f>
        <v>13840.3332953751</v>
      </c>
      <c r="E12" s="2">
        <f ca="1">MIN(INDIRECT(K11):C12)</f>
        <v>12474.910972828</v>
      </c>
      <c r="F12" s="2">
        <f ca="1">AVERAGE(INDIRECT(K11):C12)</f>
        <v>12702.482412194833</v>
      </c>
      <c r="G12" s="4">
        <f ca="1">(D12-E12)/F12</f>
        <v>0.10749255761505687</v>
      </c>
      <c r="H12" s="3">
        <f t="shared" si="0"/>
        <v>6</v>
      </c>
      <c r="I12" s="3">
        <f ca="1">IF(G12&gt;B$2, 1, 0)</f>
        <v>0</v>
      </c>
      <c r="J12" s="3">
        <f t="shared" ca="1" si="1"/>
        <v>1</v>
      </c>
      <c r="K12" t="str">
        <f ca="1">IF(I12=0, K11, ADDRESS(H12+7,3))</f>
        <v>$C$7</v>
      </c>
    </row>
    <row r="13" spans="1:11" x14ac:dyDescent="0.2">
      <c r="A13">
        <v>5</v>
      </c>
      <c r="B13" s="2">
        <v>4831726.2127342699</v>
      </c>
      <c r="C13" s="2">
        <v>12474.910972828</v>
      </c>
      <c r="D13" s="2">
        <f ca="1">MAX(INDIRECT(K12):C13)</f>
        <v>13840.3332953751</v>
      </c>
      <c r="E13" s="2">
        <f ca="1">MIN(INDIRECT(K12):C13)</f>
        <v>12474.910972828</v>
      </c>
      <c r="F13" s="2">
        <f ca="1">AVERAGE(INDIRECT(K12):C13)</f>
        <v>12669.972206570999</v>
      </c>
      <c r="G13" s="4">
        <f ca="1">(D13-E13)/F13</f>
        <v>0.10776837551695288</v>
      </c>
      <c r="H13" s="3">
        <f t="shared" si="0"/>
        <v>7</v>
      </c>
      <c r="I13" s="3">
        <f ca="1">IF(G13&gt;B$2, 1, 0)</f>
        <v>0</v>
      </c>
      <c r="J13" s="3">
        <f t="shared" ca="1" si="1"/>
        <v>1</v>
      </c>
      <c r="K13" t="str">
        <f ca="1">IF(I13=0, K12, ADDRESS(H13+7,3))</f>
        <v>$C$7</v>
      </c>
    </row>
    <row r="14" spans="1:11" x14ac:dyDescent="0.2">
      <c r="A14">
        <v>8</v>
      </c>
      <c r="B14" s="2">
        <v>3351880.4053993998</v>
      </c>
      <c r="C14" s="2">
        <v>10791.929283081099</v>
      </c>
      <c r="D14" s="2">
        <f ca="1">MAX(INDIRECT(K13):C14)</f>
        <v>13840.3332953751</v>
      </c>
      <c r="E14" s="2">
        <f ca="1">MIN(INDIRECT(K13):C14)</f>
        <v>10791.929283081099</v>
      </c>
      <c r="F14" s="2">
        <f ca="1">AVERAGE(INDIRECT(K13):C14)</f>
        <v>12435.216841134763</v>
      </c>
      <c r="G14" s="4">
        <f ca="1">(D14-E14)/F14</f>
        <v>0.24514281103728799</v>
      </c>
      <c r="H14" s="3">
        <f t="shared" si="0"/>
        <v>8</v>
      </c>
      <c r="I14" s="3">
        <f ca="1">IF(G14&gt;B$2, 1, 0)</f>
        <v>1</v>
      </c>
      <c r="J14" s="3">
        <f t="shared" ca="1" si="1"/>
        <v>2</v>
      </c>
      <c r="K14" t="str">
        <f ca="1">IF(I14=0, K13, ADDRESS(H14+7,3))</f>
        <v>$C$15</v>
      </c>
    </row>
    <row r="15" spans="1:11" x14ac:dyDescent="0.2">
      <c r="A15">
        <v>12</v>
      </c>
      <c r="B15" s="2">
        <v>3351880.4053993998</v>
      </c>
      <c r="C15" s="2">
        <v>10791.929283081099</v>
      </c>
      <c r="D15" s="2">
        <f ca="1">MAX(INDIRECT(K14):C15)</f>
        <v>10791.929283081099</v>
      </c>
      <c r="E15" s="2">
        <f ca="1">MIN(INDIRECT(K14):C15)</f>
        <v>10791.929283081099</v>
      </c>
      <c r="F15" s="2">
        <f ca="1">AVERAGE(INDIRECT(K14):C15)</f>
        <v>10791.929283081099</v>
      </c>
      <c r="G15" s="4">
        <f ca="1">(D15-E15)/F15</f>
        <v>0</v>
      </c>
      <c r="H15" s="3">
        <f t="shared" si="0"/>
        <v>9</v>
      </c>
      <c r="I15" s="3">
        <f ca="1">IF(G15&gt;B$2, 1, 0)</f>
        <v>0</v>
      </c>
      <c r="J15" s="3">
        <f t="shared" ca="1" si="1"/>
        <v>2</v>
      </c>
      <c r="K15" t="str">
        <f ca="1">IF(I15=0, K14, ADDRESS(H15+7,3))</f>
        <v>$C$15</v>
      </c>
    </row>
    <row r="16" spans="1:11" x14ac:dyDescent="0.2">
      <c r="A16">
        <v>14</v>
      </c>
      <c r="B16" s="2">
        <v>3351880.4053993998</v>
      </c>
      <c r="C16" s="2">
        <v>10791.929283081099</v>
      </c>
      <c r="D16" s="2">
        <f ca="1">MAX(INDIRECT(K15):C16)</f>
        <v>10791.929283081099</v>
      </c>
      <c r="E16" s="2">
        <f ca="1">MIN(INDIRECT(K15):C16)</f>
        <v>10791.929283081099</v>
      </c>
      <c r="F16" s="2">
        <f ca="1">AVERAGE(INDIRECT(K15):C16)</f>
        <v>10791.929283081099</v>
      </c>
      <c r="G16" s="4">
        <f ca="1">(D16-E16)/F16</f>
        <v>0</v>
      </c>
      <c r="H16" s="3">
        <f t="shared" si="0"/>
        <v>10</v>
      </c>
      <c r="I16" s="3">
        <f ca="1">IF(G16&gt;B$2, 1, 0)</f>
        <v>0</v>
      </c>
      <c r="J16" s="3">
        <f t="shared" ca="1" si="1"/>
        <v>2</v>
      </c>
      <c r="K16" t="str">
        <f ca="1">IF(I16=0, K15, ADDRESS(H16+7,3))</f>
        <v>$C$15</v>
      </c>
    </row>
    <row r="17" spans="1:11" x14ac:dyDescent="0.2">
      <c r="A17">
        <v>18</v>
      </c>
      <c r="B17" s="2">
        <v>3351880.4053993998</v>
      </c>
      <c r="C17" s="2">
        <v>10791.929283081099</v>
      </c>
      <c r="D17" s="2">
        <f ca="1">MAX(INDIRECT(K16):C17)</f>
        <v>10791.929283081099</v>
      </c>
      <c r="E17" s="2">
        <f ca="1">MIN(INDIRECT(K16):C17)</f>
        <v>10791.929283081099</v>
      </c>
      <c r="F17" s="2">
        <f ca="1">AVERAGE(INDIRECT(K16):C17)</f>
        <v>10791.929283081099</v>
      </c>
      <c r="G17" s="4">
        <f ca="1">(D17-E17)/F17</f>
        <v>0</v>
      </c>
      <c r="H17" s="3">
        <f t="shared" si="0"/>
        <v>11</v>
      </c>
      <c r="I17" s="3">
        <f ca="1">IF(G17&gt;B$2, 1, 0)</f>
        <v>0</v>
      </c>
      <c r="J17" s="3">
        <f t="shared" ca="1" si="1"/>
        <v>2</v>
      </c>
      <c r="K17" t="str">
        <f ca="1">IF(I17=0, K16, ADDRESS(H17+7,3))</f>
        <v>$C$15</v>
      </c>
    </row>
    <row r="18" spans="1:11" x14ac:dyDescent="0.2">
      <c r="A18">
        <v>10</v>
      </c>
      <c r="B18" s="2">
        <v>3351880.40539975</v>
      </c>
      <c r="C18" s="2">
        <v>10791.929283081001</v>
      </c>
      <c r="D18" s="2">
        <f ca="1">MAX(INDIRECT(K17):C18)</f>
        <v>10791.929283081099</v>
      </c>
      <c r="E18" s="2">
        <f ca="1">MIN(INDIRECT(K17):C18)</f>
        <v>10791.929283081001</v>
      </c>
      <c r="F18" s="2">
        <f ca="1">AVERAGE(INDIRECT(K17):C18)</f>
        <v>10791.929283081074</v>
      </c>
      <c r="G18" s="4">
        <f ca="1">(D18-E18)/F18</f>
        <v>9.1017486507688722E-15</v>
      </c>
      <c r="H18" s="3">
        <f t="shared" si="0"/>
        <v>12</v>
      </c>
      <c r="I18" s="3">
        <f ca="1">IF(G18&gt;B$2, 1, 0)</f>
        <v>0</v>
      </c>
      <c r="J18" s="3">
        <f t="shared" ca="1" si="1"/>
        <v>2</v>
      </c>
      <c r="K18" t="str">
        <f ca="1">IF(I18=0, K17, ADDRESS(H18+7,3))</f>
        <v>$C$15</v>
      </c>
    </row>
    <row r="19" spans="1:11" x14ac:dyDescent="0.2">
      <c r="A19">
        <v>16</v>
      </c>
      <c r="B19" s="2">
        <v>3351880.40539975</v>
      </c>
      <c r="C19" s="2">
        <v>10791.929283081001</v>
      </c>
      <c r="D19" s="2">
        <f ca="1">MAX(INDIRECT(K18):C19)</f>
        <v>10791.929283081099</v>
      </c>
      <c r="E19" s="2">
        <f ca="1">MIN(INDIRECT(K18):C19)</f>
        <v>10791.929283081001</v>
      </c>
      <c r="F19" s="2">
        <f ca="1">AVERAGE(INDIRECT(K18):C19)</f>
        <v>10791.929283081059</v>
      </c>
      <c r="G19" s="4">
        <f ca="1">(D19-E19)/F19</f>
        <v>9.1017486507688849E-15</v>
      </c>
      <c r="H19" s="3">
        <f t="shared" si="0"/>
        <v>13</v>
      </c>
      <c r="I19" s="3">
        <f ca="1">IF(G19&gt;B$2, 1, 0)</f>
        <v>0</v>
      </c>
      <c r="J19" s="3">
        <f t="shared" ca="1" si="1"/>
        <v>2</v>
      </c>
      <c r="K19" t="str">
        <f ca="1">IF(I19=0, K18, ADDRESS(H19+7,3))</f>
        <v>$C$15</v>
      </c>
    </row>
    <row r="20" spans="1:11" x14ac:dyDescent="0.2">
      <c r="A20">
        <v>13</v>
      </c>
      <c r="B20" s="2">
        <v>2791240.4246378802</v>
      </c>
      <c r="C20" s="2">
        <v>8982.71419800281</v>
      </c>
      <c r="D20" s="2">
        <f ca="1">MAX(INDIRECT(K19):C20)</f>
        <v>10791.929283081099</v>
      </c>
      <c r="E20" s="2">
        <f ca="1">MIN(INDIRECT(K19):C20)</f>
        <v>8982.71419800281</v>
      </c>
      <c r="F20" s="2">
        <f ca="1">AVERAGE(INDIRECT(K19):C20)</f>
        <v>10490.393435568018</v>
      </c>
      <c r="G20" s="4">
        <f ca="1">(D20-E20)/F20</f>
        <v>0.17246398776084859</v>
      </c>
      <c r="H20" s="3">
        <f t="shared" si="0"/>
        <v>14</v>
      </c>
      <c r="I20" s="3">
        <f ca="1">IF(G20&gt;B$2, 1, 0)</f>
        <v>1</v>
      </c>
      <c r="J20" s="3">
        <f t="shared" ca="1" si="1"/>
        <v>3</v>
      </c>
      <c r="K20" t="str">
        <f ca="1">IF(I20=0, K19, ADDRESS(H20+7,3))</f>
        <v>$C$21</v>
      </c>
    </row>
    <row r="21" spans="1:11" x14ac:dyDescent="0.2">
      <c r="A21">
        <v>9</v>
      </c>
      <c r="B21" s="2">
        <v>2791240.4248382901</v>
      </c>
      <c r="C21" s="2">
        <v>8982.71419800275</v>
      </c>
      <c r="D21" s="2">
        <f ca="1">MAX(INDIRECT(K20):C21)</f>
        <v>8982.71419800275</v>
      </c>
      <c r="E21" s="2">
        <f ca="1">MIN(INDIRECT(K20):C21)</f>
        <v>8982.71419800275</v>
      </c>
      <c r="F21" s="2">
        <f ca="1">AVERAGE(INDIRECT(K20):C21)</f>
        <v>8982.71419800275</v>
      </c>
      <c r="G21" s="4">
        <f ca="1">(D21-E21)/F21</f>
        <v>0</v>
      </c>
      <c r="H21" s="3">
        <f t="shared" si="0"/>
        <v>15</v>
      </c>
      <c r="I21" s="3">
        <f ca="1">IF(G21&gt;B$2, 1, 0)</f>
        <v>0</v>
      </c>
      <c r="J21" s="3">
        <f t="shared" ca="1" si="1"/>
        <v>3</v>
      </c>
      <c r="K21" t="str">
        <f ca="1">IF(I21=0, K20, ADDRESS(H21+7,3))</f>
        <v>$C$21</v>
      </c>
    </row>
    <row r="22" spans="1:11" x14ac:dyDescent="0.2">
      <c r="A22">
        <v>17</v>
      </c>
      <c r="B22" s="2">
        <v>2791240.4248382901</v>
      </c>
      <c r="C22" s="2">
        <v>8982.71419800275</v>
      </c>
      <c r="D22" s="2">
        <f ca="1">MAX(INDIRECT(K21):C22)</f>
        <v>8982.71419800275</v>
      </c>
      <c r="E22" s="2">
        <f ca="1">MIN(INDIRECT(K21):C22)</f>
        <v>8982.71419800275</v>
      </c>
      <c r="F22" s="2">
        <f ca="1">AVERAGE(INDIRECT(K21):C22)</f>
        <v>8982.71419800275</v>
      </c>
      <c r="G22" s="4">
        <f ca="1">(D22-E22)/F22</f>
        <v>0</v>
      </c>
      <c r="H22" s="3">
        <f t="shared" si="0"/>
        <v>16</v>
      </c>
      <c r="I22" s="3">
        <f ca="1">IF(G22&gt;B$2, 1, 0)</f>
        <v>0</v>
      </c>
      <c r="J22" s="3">
        <f t="shared" ca="1" si="1"/>
        <v>3</v>
      </c>
      <c r="K22" t="str">
        <f ca="1">IF(I22=0, K21, ADDRESS(H22+7,3))</f>
        <v>$C$21</v>
      </c>
    </row>
    <row r="23" spans="1:11" x14ac:dyDescent="0.2">
      <c r="A23">
        <v>7</v>
      </c>
      <c r="B23" s="2">
        <v>2791239.3612005999</v>
      </c>
      <c r="C23" s="2">
        <v>8982.7115074159792</v>
      </c>
      <c r="D23" s="2">
        <f ca="1">MAX(INDIRECT(K22):C23)</f>
        <v>8982.71419800275</v>
      </c>
      <c r="E23" s="2">
        <f ca="1">MIN(INDIRECT(K22):C23)</f>
        <v>8982.7115074159792</v>
      </c>
      <c r="F23" s="2">
        <f ca="1">AVERAGE(INDIRECT(K22):C23)</f>
        <v>8982.7133011404931</v>
      </c>
      <c r="G23" s="4">
        <f ca="1">(D23-E23)/F23</f>
        <v>2.9952940504364824E-7</v>
      </c>
      <c r="H23" s="3">
        <f t="shared" si="0"/>
        <v>17</v>
      </c>
      <c r="I23" s="3">
        <f ca="1">IF(G23&gt;B$2, 1, 0)</f>
        <v>0</v>
      </c>
      <c r="J23" s="3">
        <f t="shared" ca="1" si="1"/>
        <v>3</v>
      </c>
      <c r="K23" t="str">
        <f ca="1">IF(I23=0, K22, ADDRESS(H23+7,3))</f>
        <v>$C$21</v>
      </c>
    </row>
    <row r="24" spans="1:11" x14ac:dyDescent="0.2">
      <c r="A24">
        <v>11</v>
      </c>
      <c r="B24" s="2">
        <v>2791239.3612398002</v>
      </c>
      <c r="C24" s="2">
        <v>8982.7115074159301</v>
      </c>
      <c r="D24" s="2">
        <f ca="1">MAX(INDIRECT(K23):C24)</f>
        <v>8982.71419800275</v>
      </c>
      <c r="E24" s="2">
        <f ca="1">MIN(INDIRECT(K23):C24)</f>
        <v>8982.7115074159301</v>
      </c>
      <c r="F24" s="2">
        <f ca="1">AVERAGE(INDIRECT(K23):C24)</f>
        <v>8982.7128527093519</v>
      </c>
      <c r="G24" s="4">
        <f ca="1">(D24-E24)/F24</f>
        <v>2.9952942546409694E-7</v>
      </c>
      <c r="H24" s="3">
        <f t="shared" si="0"/>
        <v>18</v>
      </c>
      <c r="I24" s="3">
        <f ca="1">IF(G24&gt;B$2, 1, 0)</f>
        <v>0</v>
      </c>
      <c r="J24" s="3">
        <f t="shared" ca="1" si="1"/>
        <v>3</v>
      </c>
      <c r="K24" t="str">
        <f ca="1">IF(I24=0, K23, ADDRESS(H24+7,3))</f>
        <v>$C$21</v>
      </c>
    </row>
    <row r="25" spans="1:11" x14ac:dyDescent="0.2">
      <c r="A25">
        <v>15</v>
      </c>
      <c r="B25" s="2">
        <v>2791239.3612398002</v>
      </c>
      <c r="C25" s="2">
        <v>8982.7115074159192</v>
      </c>
      <c r="D25" s="2">
        <f ca="1">MAX(INDIRECT(K24):C25)</f>
        <v>8982.71419800275</v>
      </c>
      <c r="E25" s="2">
        <f ca="1">MIN(INDIRECT(K24):C25)</f>
        <v>8982.7115074159192</v>
      </c>
      <c r="F25" s="2">
        <f ca="1">AVERAGE(INDIRECT(K24):C25)</f>
        <v>8982.7125836506657</v>
      </c>
      <c r="G25" s="4">
        <f ca="1">(D25-E25)/F25</f>
        <v>2.9952943565087838E-7</v>
      </c>
      <c r="H25" s="3">
        <f t="shared" si="0"/>
        <v>19</v>
      </c>
      <c r="I25" s="3">
        <f ca="1">IF(G25&gt;B$2, 1, 0)</f>
        <v>0</v>
      </c>
      <c r="J25" s="3">
        <f t="shared" ca="1" si="1"/>
        <v>3</v>
      </c>
      <c r="K25" t="str">
        <f ca="1">IF(I25=0, K24, ADDRESS(H25+7,3))</f>
        <v>$C$21</v>
      </c>
    </row>
  </sheetData>
  <sortState xmlns:xlrd2="http://schemas.microsoft.com/office/spreadsheetml/2017/richdata2" ref="A7:C25">
    <sortCondition descending="1" ref="C7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3A87-6EB8-904E-BCDA-560C7F185FAB}">
  <dimension ref="A1:O88"/>
  <sheetViews>
    <sheetView topLeftCell="A46" workbookViewId="0">
      <selection activeCell="K57" sqref="K57"/>
    </sheetView>
  </sheetViews>
  <sheetFormatPr baseColWidth="10" defaultRowHeight="16" x14ac:dyDescent="0.2"/>
  <cols>
    <col min="1" max="1" width="15.6640625" customWidth="1"/>
  </cols>
  <sheetData>
    <row r="1" spans="1:15" x14ac:dyDescent="0.2">
      <c r="A1" t="s">
        <v>18</v>
      </c>
      <c r="B1" t="s">
        <v>23</v>
      </c>
      <c r="C1" t="s">
        <v>24</v>
      </c>
      <c r="D1" t="s">
        <v>25</v>
      </c>
    </row>
    <row r="2" spans="1:15" x14ac:dyDescent="0.2">
      <c r="A2" t="s">
        <v>19</v>
      </c>
      <c r="B2" s="2">
        <v>71209321.224425435</v>
      </c>
      <c r="C2" t="s">
        <v>22</v>
      </c>
      <c r="D2" t="s">
        <v>26</v>
      </c>
    </row>
    <row r="3" spans="1:15" x14ac:dyDescent="0.2">
      <c r="A3" t="s">
        <v>20</v>
      </c>
      <c r="B3">
        <v>1277.444</v>
      </c>
      <c r="C3" t="s">
        <v>21</v>
      </c>
    </row>
    <row r="4" spans="1:15" x14ac:dyDescent="0.2">
      <c r="A4" t="s">
        <v>28</v>
      </c>
      <c r="B4">
        <v>150</v>
      </c>
      <c r="C4" t="s">
        <v>29</v>
      </c>
    </row>
    <row r="5" spans="1:15" x14ac:dyDescent="0.2">
      <c r="A5" t="s">
        <v>27</v>
      </c>
      <c r="B5">
        <v>384.60553299999998</v>
      </c>
      <c r="C5" t="s">
        <v>30</v>
      </c>
    </row>
    <row r="6" spans="1:15" x14ac:dyDescent="0.2">
      <c r="A6" t="s">
        <v>31</v>
      </c>
      <c r="B6">
        <f>B5/19</f>
        <v>20.242396473684209</v>
      </c>
      <c r="C6" t="s">
        <v>30</v>
      </c>
    </row>
    <row r="7" spans="1:15" x14ac:dyDescent="0.2">
      <c r="A7" t="s">
        <v>50</v>
      </c>
      <c r="B7">
        <v>623.15</v>
      </c>
      <c r="C7" t="s">
        <v>29</v>
      </c>
    </row>
    <row r="9" spans="1:15" x14ac:dyDescent="0.2">
      <c r="A9" t="s">
        <v>32</v>
      </c>
      <c r="I9" t="s">
        <v>38</v>
      </c>
    </row>
    <row r="10" spans="1:15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44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44</v>
      </c>
    </row>
    <row r="11" spans="1:15" x14ac:dyDescent="0.2">
      <c r="A11" s="7">
        <v>0.05</v>
      </c>
      <c r="B11" s="7">
        <v>4910000</v>
      </c>
      <c r="C11" s="7">
        <v>98.1</v>
      </c>
      <c r="D11" s="7">
        <v>8260000</v>
      </c>
      <c r="E11" s="7">
        <v>790</v>
      </c>
      <c r="F11" t="s">
        <v>42</v>
      </c>
      <c r="G11" t="s">
        <v>43</v>
      </c>
      <c r="I11" s="6">
        <v>0.05</v>
      </c>
      <c r="J11" s="6">
        <v>3071560.1491993102</v>
      </c>
      <c r="K11" s="6">
        <v>61.431202983986303</v>
      </c>
      <c r="L11" s="6">
        <v>4134307.8884910299</v>
      </c>
      <c r="M11" s="6">
        <v>731.98721570684904</v>
      </c>
      <c r="N11" t="s">
        <v>42</v>
      </c>
      <c r="O11" t="s">
        <v>43</v>
      </c>
    </row>
    <row r="12" spans="1:15" x14ac:dyDescent="0.2">
      <c r="A12" s="7">
        <v>6.5699999999999995E-2</v>
      </c>
      <c r="B12" s="7">
        <v>4910000</v>
      </c>
      <c r="C12" s="7">
        <v>74.7</v>
      </c>
      <c r="D12" s="7">
        <v>5030000</v>
      </c>
      <c r="E12" s="7">
        <v>798</v>
      </c>
      <c r="F12" s="1" cm="1">
        <f t="array" ref="F12:G12">LINEST(E11:E12, A11:A12)</f>
        <v>509.55414012738873</v>
      </c>
      <c r="G12" s="1">
        <v>764.52229299363057</v>
      </c>
      <c r="I12" s="6">
        <v>6.5651621724394094E-2</v>
      </c>
      <c r="J12" s="6">
        <v>3071560.1491993102</v>
      </c>
      <c r="K12" s="6">
        <v>46.785746772467199</v>
      </c>
      <c r="L12" s="6">
        <v>2516860.8830193202</v>
      </c>
      <c r="M12" s="6">
        <v>742.50919047693901</v>
      </c>
      <c r="N12" s="1" cm="1">
        <f t="array" ref="N12:O12">LINEST(M11:M12, I11:I12)</f>
        <v>672.26099348483308</v>
      </c>
      <c r="O12" s="1">
        <v>698.37416603260749</v>
      </c>
    </row>
    <row r="13" spans="1:15" x14ac:dyDescent="0.2">
      <c r="A13" s="7">
        <v>8.6199999999999999E-2</v>
      </c>
      <c r="B13" s="7">
        <v>4910000</v>
      </c>
      <c r="C13" s="7">
        <v>56.9</v>
      </c>
      <c r="D13" s="7">
        <v>3060000</v>
      </c>
      <c r="E13" s="7">
        <v>808</v>
      </c>
      <c r="F13" s="1" cm="1">
        <f t="array" ref="F13:G13">LINEST(E12:E13, A12:A13)</f>
        <v>487.80487804878032</v>
      </c>
      <c r="G13" s="1">
        <v>765.95121951219517</v>
      </c>
      <c r="I13" s="6">
        <v>8.6202708700858902E-2</v>
      </c>
      <c r="J13" s="6">
        <v>3071560.1491993102</v>
      </c>
      <c r="K13" s="6">
        <v>35.631828691813602</v>
      </c>
      <c r="L13" s="6">
        <v>1531783.29398572</v>
      </c>
      <c r="M13" s="6">
        <v>757.99963323448401</v>
      </c>
      <c r="N13" s="1" cm="1">
        <f t="array" ref="N13:O13">LINEST(M12:M13, I12:I13)</f>
        <v>753.7529657328937</v>
      </c>
      <c r="O13" s="1">
        <v>693.02408589700292</v>
      </c>
    </row>
    <row r="14" spans="1:15" x14ac:dyDescent="0.2">
      <c r="A14" s="7">
        <v>0.113</v>
      </c>
      <c r="B14" s="7">
        <v>4910000</v>
      </c>
      <c r="C14" s="7">
        <v>43.4</v>
      </c>
      <c r="D14" s="7">
        <v>1860000</v>
      </c>
      <c r="E14" s="7">
        <v>823</v>
      </c>
      <c r="F14" s="1" cm="1">
        <f t="array" ref="F14:G14">LINEST(E13:E14, A13:A14)</f>
        <v>559.70149253731324</v>
      </c>
      <c r="G14" s="1">
        <v>759.75373134328356</v>
      </c>
      <c r="I14" s="6">
        <v>0.113186952464938</v>
      </c>
      <c r="J14" s="6">
        <v>3071560.1491993102</v>
      </c>
      <c r="K14" s="6">
        <v>27.137051420752499</v>
      </c>
      <c r="L14" s="6">
        <v>932667.18428831396</v>
      </c>
      <c r="M14" s="6">
        <v>779.68600597965803</v>
      </c>
      <c r="N14" s="1" cm="1">
        <f t="array" ref="N14:O14">LINEST(M13:M14, I13:I14)</f>
        <v>803.66798250031047</v>
      </c>
      <c r="O14" s="1">
        <v>688.72127624680286</v>
      </c>
    </row>
    <row r="15" spans="1:15" x14ac:dyDescent="0.2">
      <c r="A15" s="7">
        <v>0.14899999999999999</v>
      </c>
      <c r="B15" s="7">
        <v>4910000</v>
      </c>
      <c r="C15" s="7">
        <v>33</v>
      </c>
      <c r="D15" s="7">
        <v>1140000</v>
      </c>
      <c r="E15" s="7">
        <v>843</v>
      </c>
      <c r="F15" s="1" cm="1">
        <f t="array" ref="F15:G15">LINEST(E14:E15, A14:A15)</f>
        <v>555.55555555555588</v>
      </c>
      <c r="G15" s="1">
        <v>760.22222222222217</v>
      </c>
      <c r="I15" s="6">
        <v>0.14861813974730201</v>
      </c>
      <c r="J15" s="6">
        <v>3071560.1491993102</v>
      </c>
      <c r="K15" s="6">
        <v>20.667464647464399</v>
      </c>
      <c r="L15" s="6">
        <v>568119.67489144695</v>
      </c>
      <c r="M15" s="6">
        <v>810.06139352349498</v>
      </c>
      <c r="N15" s="1" cm="1">
        <f t="array" ref="N15:O15">LINEST(M14:M15, I14:I15)</f>
        <v>857.30651083646865</v>
      </c>
      <c r="O15" s="1">
        <v>682.6500946897288</v>
      </c>
    </row>
    <row r="16" spans="1:15" x14ac:dyDescent="0.2">
      <c r="A16" s="7">
        <v>0.19500000000000001</v>
      </c>
      <c r="B16" s="7">
        <v>4910000</v>
      </c>
      <c r="C16" s="7">
        <v>25.1</v>
      </c>
      <c r="D16" s="7">
        <v>692000</v>
      </c>
      <c r="E16" s="7">
        <v>873</v>
      </c>
      <c r="F16" s="1" cm="1">
        <f t="array" ref="F16:G16">LINEST(E15:E16, A15:A16)</f>
        <v>652.17391304347814</v>
      </c>
      <c r="G16" s="1">
        <v>745.82608695652175</v>
      </c>
      <c r="I16" s="6">
        <v>0.19514043784146101</v>
      </c>
      <c r="J16" s="6">
        <v>3071560.1491993102</v>
      </c>
      <c r="K16" s="6">
        <v>15.740254470960799</v>
      </c>
      <c r="L16" s="6">
        <v>346074.884318367</v>
      </c>
      <c r="M16" s="6">
        <v>852.28075246390097</v>
      </c>
      <c r="N16" s="1" cm="1">
        <f t="array" ref="N16:O16">LINEST(M15:M16, I15:I16)</f>
        <v>907.50802668767403</v>
      </c>
      <c r="O16" s="1">
        <v>675.1892387914279</v>
      </c>
    </row>
    <row r="17" spans="1:15" x14ac:dyDescent="0.2">
      <c r="A17" s="7">
        <v>0.25600000000000001</v>
      </c>
      <c r="B17" s="7">
        <v>4910000</v>
      </c>
      <c r="C17" s="7">
        <v>19.2</v>
      </c>
      <c r="D17" s="7">
        <v>422000</v>
      </c>
      <c r="E17" s="7">
        <v>916</v>
      </c>
      <c r="F17" s="1" cm="1">
        <f t="array" ref="F17:G17">LINEST(E16:E17, A16:A17)</f>
        <v>704.91803278688519</v>
      </c>
      <c r="G17" s="1">
        <v>735.54098360655735</v>
      </c>
      <c r="I17" s="6">
        <v>0.25622572416600498</v>
      </c>
      <c r="J17" s="6">
        <v>3071560.1491993102</v>
      </c>
      <c r="K17" s="6">
        <v>11.987711847422799</v>
      </c>
      <c r="L17" s="6">
        <v>210929.507367399</v>
      </c>
      <c r="M17" s="6">
        <v>910.98530133838904</v>
      </c>
      <c r="N17" s="1" cm="1">
        <f t="array" ref="N17:O17">LINEST(M16:M17, I16:I17)</f>
        <v>961.02600817147493</v>
      </c>
      <c r="O17" s="1">
        <v>664.74571645228798</v>
      </c>
    </row>
    <row r="18" spans="1:15" x14ac:dyDescent="0.2">
      <c r="A18" s="7">
        <v>0.33600000000000002</v>
      </c>
      <c r="B18" s="7">
        <v>4910000</v>
      </c>
      <c r="C18" s="7">
        <v>14.6</v>
      </c>
      <c r="D18" s="7">
        <v>257000</v>
      </c>
      <c r="E18" s="7">
        <v>979</v>
      </c>
      <c r="F18" s="1" cm="1">
        <f t="array" ref="F18:G18">LINEST(E17:E18, A17:A18)</f>
        <v>787.49999999999955</v>
      </c>
      <c r="G18" s="1">
        <v>714.40000000000009</v>
      </c>
      <c r="I18" s="6">
        <v>0.33643268638011098</v>
      </c>
      <c r="J18" s="6">
        <v>3071560.1491993102</v>
      </c>
      <c r="K18" s="6">
        <v>9.1297911099190099</v>
      </c>
      <c r="L18" s="6">
        <v>128680.362250459</v>
      </c>
      <c r="M18" s="6">
        <v>991.29287369325095</v>
      </c>
      <c r="N18" s="1" cm="1">
        <f t="array" ref="N18:O18">LINEST(M17:M18, I17:I18)</f>
        <v>1001.2543816394311</v>
      </c>
      <c r="O18" s="1">
        <v>654.43817232844026</v>
      </c>
    </row>
    <row r="19" spans="1:15" x14ac:dyDescent="0.2">
      <c r="A19" s="7">
        <v>0.442</v>
      </c>
      <c r="B19" s="7">
        <v>4910000</v>
      </c>
      <c r="C19" s="7">
        <v>11.1</v>
      </c>
      <c r="D19" s="7">
        <v>157000</v>
      </c>
      <c r="E19" s="7">
        <v>1070</v>
      </c>
      <c r="F19" s="1" cm="1">
        <f t="array" ref="F19:G19">LINEST(E18:E19, A18:A19)</f>
        <v>858.4905660377359</v>
      </c>
      <c r="G19" s="1">
        <v>690.54716981132071</v>
      </c>
      <c r="I19" s="6">
        <v>0.44174702923897702</v>
      </c>
      <c r="J19" s="6">
        <v>3071560.1491993102</v>
      </c>
      <c r="K19" s="6">
        <v>6.9532106520124604</v>
      </c>
      <c r="L19" s="6">
        <v>78668.062384500401</v>
      </c>
      <c r="M19" s="6">
        <v>1098.7436672691699</v>
      </c>
      <c r="N19" s="1" cm="1">
        <f t="array" ref="N19:O19">LINEST(M18:M19, I18:I19)</f>
        <v>1020.2864173963088</v>
      </c>
      <c r="O19" s="1">
        <v>648.03517341147165</v>
      </c>
    </row>
    <row r="20" spans="1:15" x14ac:dyDescent="0.2">
      <c r="A20" s="7">
        <v>0.57999999999999996</v>
      </c>
      <c r="B20" s="7">
        <v>4910000</v>
      </c>
      <c r="C20" s="7">
        <v>8.4600000000000009</v>
      </c>
      <c r="D20" s="7">
        <v>96400</v>
      </c>
      <c r="E20" s="7">
        <v>1190</v>
      </c>
      <c r="F20" s="1" cm="1">
        <f t="array" ref="F20:G20">LINEST(E19:E20, A19:A20)</f>
        <v>869.56521739130505</v>
      </c>
      <c r="G20" s="1">
        <v>685.65217391304304</v>
      </c>
      <c r="I20" s="6">
        <v>0.580028177229444</v>
      </c>
      <c r="J20" s="6">
        <v>3071560.1491993102</v>
      </c>
      <c r="K20" s="6">
        <v>5.2955360959719098</v>
      </c>
      <c r="L20" s="6">
        <v>48708.924398167299</v>
      </c>
      <c r="M20" s="6">
        <v>1241.0423081661299</v>
      </c>
      <c r="N20" s="1" cm="1">
        <f t="array" ref="N20:O20">LINEST(M19:M20, I19:I20)</f>
        <v>1029.0530774792958</v>
      </c>
      <c r="O20" s="1">
        <v>644.16252736346428</v>
      </c>
    </row>
    <row r="21" spans="1:15" x14ac:dyDescent="0.2">
      <c r="A21" s="7">
        <v>0.76200000000000001</v>
      </c>
      <c r="B21" s="7">
        <v>4910000</v>
      </c>
      <c r="C21" s="7">
        <v>6.44</v>
      </c>
      <c r="D21" s="7">
        <v>59400</v>
      </c>
      <c r="E21" s="7">
        <v>1350</v>
      </c>
      <c r="F21" s="1" cm="1">
        <f t="array" ref="F21:G21">LINEST(E20:E21, A20:A21)</f>
        <v>879.12087912087907</v>
      </c>
      <c r="G21" s="1">
        <v>680.1098901098901</v>
      </c>
      <c r="I21" s="6">
        <v>0.76159580961914697</v>
      </c>
      <c r="J21" s="6">
        <v>3071560.1491993102</v>
      </c>
      <c r="K21" s="6">
        <v>4.0330581003791401</v>
      </c>
      <c r="L21" s="6">
        <v>30783.734670436199</v>
      </c>
      <c r="M21" s="6">
        <v>1427.5625863988901</v>
      </c>
      <c r="N21" s="1" cm="1">
        <f t="array" ref="N21:O21">LINEST(M20:M21, I20:I21)</f>
        <v>1027.2771406327931</v>
      </c>
      <c r="O21" s="1">
        <v>645.19262077541566</v>
      </c>
    </row>
    <row r="22" spans="1:15" x14ac:dyDescent="0.2">
      <c r="A22" s="7">
        <v>1</v>
      </c>
      <c r="B22" s="7">
        <v>4910000</v>
      </c>
      <c r="C22" s="7">
        <v>4.91</v>
      </c>
      <c r="D22" s="7">
        <v>38100</v>
      </c>
      <c r="E22" s="7">
        <v>1570</v>
      </c>
      <c r="F22" s="1" cm="1">
        <f t="array" ref="F22:G22">LINEST(E21:E22, A21:A22)</f>
        <v>924.36974789915973</v>
      </c>
      <c r="G22" s="1">
        <v>645.63025210084027</v>
      </c>
      <c r="I22" s="6">
        <v>1</v>
      </c>
      <c r="J22" s="6">
        <v>3071560.1491993102</v>
      </c>
      <c r="K22" s="6">
        <v>3.0715601491993101</v>
      </c>
      <c r="L22" s="6">
        <v>19514.815060556601</v>
      </c>
      <c r="M22" s="6">
        <v>1665.9508116356301</v>
      </c>
      <c r="N22" s="1" cm="1">
        <f t="array" ref="N22:O22">LINEST(M21:M22, I21:I22)</f>
        <v>999.93303329070045</v>
      </c>
      <c r="O22" s="1">
        <v>666.01777834492941</v>
      </c>
    </row>
    <row r="23" spans="1:15" x14ac:dyDescent="0.2">
      <c r="A23" s="7"/>
    </row>
    <row r="25" spans="1:15" x14ac:dyDescent="0.2">
      <c r="A25" t="s">
        <v>41</v>
      </c>
    </row>
    <row r="26" spans="1:15" x14ac:dyDescent="0.2">
      <c r="A26" t="s">
        <v>0</v>
      </c>
      <c r="B26" t="s">
        <v>1</v>
      </c>
      <c r="C26" t="s">
        <v>2</v>
      </c>
      <c r="D26" t="s">
        <v>39</v>
      </c>
      <c r="E26" t="s">
        <v>40</v>
      </c>
    </row>
    <row r="27" spans="1:15" x14ac:dyDescent="0.2">
      <c r="A27">
        <v>0</v>
      </c>
      <c r="B27" s="2">
        <v>5360239.4927378697</v>
      </c>
      <c r="C27" s="2">
        <v>13840.3332953751</v>
      </c>
      <c r="D27">
        <v>1</v>
      </c>
      <c r="E27">
        <v>1</v>
      </c>
    </row>
    <row r="28" spans="1:15" x14ac:dyDescent="0.2">
      <c r="A28">
        <v>2</v>
      </c>
      <c r="B28" s="2">
        <v>4831727.1010322999</v>
      </c>
      <c r="C28" s="2">
        <v>12474.9130773793</v>
      </c>
      <c r="D28">
        <v>1</v>
      </c>
      <c r="E28">
        <v>1</v>
      </c>
    </row>
    <row r="29" spans="1:15" x14ac:dyDescent="0.2">
      <c r="A29">
        <v>4</v>
      </c>
      <c r="B29" s="2">
        <v>4831727.1010305202</v>
      </c>
      <c r="C29" s="2">
        <v>12474.9130773793</v>
      </c>
      <c r="D29">
        <v>1</v>
      </c>
      <c r="E29">
        <v>1</v>
      </c>
    </row>
    <row r="30" spans="1:15" x14ac:dyDescent="0.2">
      <c r="A30">
        <v>6</v>
      </c>
      <c r="B30" s="2">
        <v>4831727.1010322999</v>
      </c>
      <c r="C30" s="2">
        <v>12474.9130773793</v>
      </c>
      <c r="D30">
        <v>1</v>
      </c>
      <c r="E30">
        <v>1</v>
      </c>
    </row>
    <row r="31" spans="1:15" x14ac:dyDescent="0.2">
      <c r="A31">
        <v>1</v>
      </c>
      <c r="B31" s="2">
        <v>4831726.2127321502</v>
      </c>
      <c r="C31" s="2">
        <v>12474.910972828</v>
      </c>
      <c r="D31">
        <v>1</v>
      </c>
      <c r="E31">
        <v>1</v>
      </c>
    </row>
    <row r="32" spans="1:15" x14ac:dyDescent="0.2">
      <c r="A32">
        <v>3</v>
      </c>
      <c r="B32" s="2">
        <v>4831726.2127342699</v>
      </c>
      <c r="C32" s="2">
        <v>12474.910972828</v>
      </c>
      <c r="D32">
        <v>1</v>
      </c>
      <c r="E32">
        <v>1</v>
      </c>
    </row>
    <row r="33" spans="1:5" x14ac:dyDescent="0.2">
      <c r="A33">
        <v>5</v>
      </c>
      <c r="B33" s="2">
        <v>4831726.2127342699</v>
      </c>
      <c r="C33" s="2">
        <v>12474.910972828</v>
      </c>
      <c r="D33">
        <v>1</v>
      </c>
      <c r="E33">
        <v>1</v>
      </c>
    </row>
    <row r="34" spans="1:5" x14ac:dyDescent="0.2">
      <c r="A34">
        <v>8</v>
      </c>
      <c r="B34" s="2">
        <v>3351880.4053993998</v>
      </c>
      <c r="C34" s="2">
        <v>10791.929283081099</v>
      </c>
      <c r="D34">
        <v>2</v>
      </c>
      <c r="E34">
        <v>2</v>
      </c>
    </row>
    <row r="35" spans="1:5" x14ac:dyDescent="0.2">
      <c r="A35">
        <v>12</v>
      </c>
      <c r="B35" s="2">
        <v>3351880.4053993998</v>
      </c>
      <c r="C35" s="2">
        <v>10791.929283081099</v>
      </c>
      <c r="D35">
        <v>2</v>
      </c>
      <c r="E35">
        <v>2</v>
      </c>
    </row>
    <row r="36" spans="1:5" x14ac:dyDescent="0.2">
      <c r="A36">
        <v>14</v>
      </c>
      <c r="B36" s="2">
        <v>3351880.4053993998</v>
      </c>
      <c r="C36" s="2">
        <v>10791.929283081099</v>
      </c>
      <c r="D36">
        <v>2</v>
      </c>
      <c r="E36">
        <v>2</v>
      </c>
    </row>
    <row r="37" spans="1:5" x14ac:dyDescent="0.2">
      <c r="A37">
        <v>18</v>
      </c>
      <c r="B37" s="2">
        <v>3351880.4053993998</v>
      </c>
      <c r="C37" s="2">
        <v>10791.929283081099</v>
      </c>
      <c r="D37">
        <v>2</v>
      </c>
      <c r="E37">
        <v>2</v>
      </c>
    </row>
    <row r="38" spans="1:5" x14ac:dyDescent="0.2">
      <c r="A38">
        <v>10</v>
      </c>
      <c r="B38" s="2">
        <v>3351880.40539975</v>
      </c>
      <c r="C38" s="2">
        <v>10791.929283081001</v>
      </c>
      <c r="D38">
        <v>2</v>
      </c>
      <c r="E38">
        <v>2</v>
      </c>
    </row>
    <row r="39" spans="1:5" x14ac:dyDescent="0.2">
      <c r="A39">
        <v>16</v>
      </c>
      <c r="B39" s="2">
        <v>3351880.40539975</v>
      </c>
      <c r="C39" s="2">
        <v>10791.929283081001</v>
      </c>
      <c r="D39">
        <v>2</v>
      </c>
      <c r="E39">
        <v>2</v>
      </c>
    </row>
    <row r="40" spans="1:5" x14ac:dyDescent="0.2">
      <c r="A40">
        <v>13</v>
      </c>
      <c r="B40" s="2">
        <v>2791240.4246378802</v>
      </c>
      <c r="C40" s="2">
        <v>8982.71419800281</v>
      </c>
      <c r="D40">
        <v>3</v>
      </c>
      <c r="E40">
        <v>2</v>
      </c>
    </row>
    <row r="41" spans="1:5" x14ac:dyDescent="0.2">
      <c r="A41">
        <v>9</v>
      </c>
      <c r="B41" s="2">
        <v>2791240.4248382901</v>
      </c>
      <c r="C41" s="2">
        <v>8982.71419800275</v>
      </c>
      <c r="D41">
        <v>3</v>
      </c>
      <c r="E41">
        <v>2</v>
      </c>
    </row>
    <row r="42" spans="1:5" x14ac:dyDescent="0.2">
      <c r="A42">
        <v>17</v>
      </c>
      <c r="B42" s="2">
        <v>2791240.4248382901</v>
      </c>
      <c r="C42" s="2">
        <v>8982.71419800275</v>
      </c>
      <c r="D42">
        <v>3</v>
      </c>
      <c r="E42">
        <v>2</v>
      </c>
    </row>
    <row r="43" spans="1:5" x14ac:dyDescent="0.2">
      <c r="A43">
        <v>7</v>
      </c>
      <c r="B43" s="2">
        <v>2791239.3612005999</v>
      </c>
      <c r="C43" s="2">
        <v>8982.7115074159792</v>
      </c>
      <c r="D43">
        <v>3</v>
      </c>
      <c r="E43">
        <v>2</v>
      </c>
    </row>
    <row r="44" spans="1:5" x14ac:dyDescent="0.2">
      <c r="A44">
        <v>11</v>
      </c>
      <c r="B44" s="2">
        <v>2791239.3612398002</v>
      </c>
      <c r="C44" s="2">
        <v>8982.7115074159301</v>
      </c>
      <c r="D44">
        <v>3</v>
      </c>
      <c r="E44">
        <v>2</v>
      </c>
    </row>
    <row r="45" spans="1:5" x14ac:dyDescent="0.2">
      <c r="A45">
        <v>15</v>
      </c>
      <c r="B45" s="2">
        <v>2791239.3612398002</v>
      </c>
      <c r="C45" s="2">
        <v>8982.7115074159192</v>
      </c>
      <c r="D45">
        <v>3</v>
      </c>
      <c r="E45">
        <v>2</v>
      </c>
    </row>
    <row r="49" spans="1:15" x14ac:dyDescent="0.2">
      <c r="A49" t="s">
        <v>13</v>
      </c>
      <c r="B49">
        <v>1</v>
      </c>
      <c r="C49">
        <f>B49+1</f>
        <v>2</v>
      </c>
      <c r="D49">
        <f>C49+1</f>
        <v>3</v>
      </c>
      <c r="E49">
        <f t="shared" ref="E49:O49" si="0">D49+1</f>
        <v>4</v>
      </c>
      <c r="F49">
        <f t="shared" si="0"/>
        <v>5</v>
      </c>
      <c r="G49">
        <f t="shared" si="0"/>
        <v>6</v>
      </c>
    </row>
    <row r="50" spans="1:15" x14ac:dyDescent="0.2">
      <c r="A50" t="s">
        <v>14</v>
      </c>
      <c r="B50">
        <f>$B5</f>
        <v>384.60553299999998</v>
      </c>
      <c r="C50">
        <f>B50</f>
        <v>384.60553299999998</v>
      </c>
      <c r="D50">
        <f>C50</f>
        <v>384.60553299999998</v>
      </c>
      <c r="E50">
        <f t="shared" ref="E50:O50" si="1">D50</f>
        <v>384.60553299999998</v>
      </c>
      <c r="F50">
        <f t="shared" si="1"/>
        <v>384.60553299999998</v>
      </c>
      <c r="G50">
        <f t="shared" si="1"/>
        <v>384.60553299999998</v>
      </c>
    </row>
    <row r="51" spans="1:15" x14ac:dyDescent="0.2">
      <c r="A51" t="s">
        <v>39</v>
      </c>
      <c r="B51">
        <v>1</v>
      </c>
      <c r="C51">
        <f>B51</f>
        <v>1</v>
      </c>
      <c r="D51">
        <f>C51</f>
        <v>1</v>
      </c>
      <c r="E51">
        <f t="shared" ref="E51:O51" si="2">D51</f>
        <v>1</v>
      </c>
      <c r="F51">
        <f t="shared" si="2"/>
        <v>1</v>
      </c>
      <c r="G51">
        <f t="shared" si="2"/>
        <v>1</v>
      </c>
    </row>
    <row r="52" spans="1:15" x14ac:dyDescent="0.2">
      <c r="A52" t="s">
        <v>45</v>
      </c>
      <c r="B52">
        <f>COUNTIF(D27:D45, B51)</f>
        <v>7</v>
      </c>
      <c r="C52">
        <f>B52</f>
        <v>7</v>
      </c>
      <c r="D52">
        <f>C52</f>
        <v>7</v>
      </c>
      <c r="E52">
        <f t="shared" ref="E52:O52" si="3">D52</f>
        <v>7</v>
      </c>
      <c r="F52">
        <f t="shared" si="3"/>
        <v>7</v>
      </c>
      <c r="G52">
        <f t="shared" si="3"/>
        <v>7</v>
      </c>
      <c r="O52" s="5"/>
    </row>
    <row r="53" spans="1:15" x14ac:dyDescent="0.2">
      <c r="A53" t="s">
        <v>35</v>
      </c>
      <c r="B53" s="8">
        <f>B6</f>
        <v>20.242396473684209</v>
      </c>
      <c r="C53">
        <f>B53*B83</f>
        <v>26.331952914954162</v>
      </c>
      <c r="D53">
        <f>C53*C83</f>
        <v>28.465802953499026</v>
      </c>
      <c r="E53">
        <f t="shared" ref="E53:O53" si="4">D53*D83</f>
        <v>29.197913116992545</v>
      </c>
      <c r="F53">
        <f t="shared" si="4"/>
        <v>29.440282687604228</v>
      </c>
      <c r="G53">
        <f t="shared" si="4"/>
        <v>29.52004138150614</v>
      </c>
    </row>
    <row r="54" spans="1:15" x14ac:dyDescent="0.2">
      <c r="A54" t="s">
        <v>48</v>
      </c>
      <c r="B54" s="8">
        <f>_xlfn.MAXIFS($B$27:$B$45, $D$27:$D$45, 1)</f>
        <v>5360239.4927378697</v>
      </c>
      <c r="C54">
        <f>B54</f>
        <v>5360239.4927378697</v>
      </c>
      <c r="D54">
        <f>C54</f>
        <v>5360239.4927378697</v>
      </c>
      <c r="E54">
        <f t="shared" ref="E54:O54" si="5">D54</f>
        <v>5360239.4927378697</v>
      </c>
      <c r="F54">
        <f t="shared" si="5"/>
        <v>5360239.4927378697</v>
      </c>
      <c r="G54">
        <f t="shared" si="5"/>
        <v>5360239.4927378697</v>
      </c>
    </row>
    <row r="55" spans="1:15" x14ac:dyDescent="0.2">
      <c r="A55" t="s">
        <v>40</v>
      </c>
      <c r="B55">
        <f>INDEX($E$27:$E$45,MATCH(B54,$B$27:$B$45,0))</f>
        <v>1</v>
      </c>
      <c r="C55">
        <f>B55</f>
        <v>1</v>
      </c>
      <c r="D55">
        <f>C55</f>
        <v>1</v>
      </c>
      <c r="E55">
        <f t="shared" ref="E55:O55" si="6">D55</f>
        <v>1</v>
      </c>
      <c r="F55">
        <f t="shared" si="6"/>
        <v>1</v>
      </c>
      <c r="G55">
        <f t="shared" si="6"/>
        <v>1</v>
      </c>
    </row>
    <row r="56" spans="1:15" x14ac:dyDescent="0.2">
      <c r="A56" s="8" t="s">
        <v>46</v>
      </c>
      <c r="B56">
        <f>B54/B53/1000000</f>
        <v>0.26480261364835728</v>
      </c>
      <c r="C56">
        <f>C54/C53/1000000</f>
        <v>0.20356406948053365</v>
      </c>
      <c r="D56">
        <f>D54/D53/1000000</f>
        <v>0.18830452460779742</v>
      </c>
      <c r="E56">
        <f t="shared" ref="E56:O56" si="7">E54/E53/1000000</f>
        <v>0.18358296605856833</v>
      </c>
      <c r="F56">
        <f t="shared" si="7"/>
        <v>0.18207160405408701</v>
      </c>
      <c r="G56">
        <f t="shared" si="7"/>
        <v>0.18157967407511763</v>
      </c>
    </row>
    <row r="57" spans="1:15" x14ac:dyDescent="0.2">
      <c r="A57" s="8" t="s">
        <v>47</v>
      </c>
      <c r="B57">
        <f>MATCH(B56, $A$11:$A$22, 1)</f>
        <v>7</v>
      </c>
      <c r="C57">
        <f t="shared" ref="C57:K57" si="8">MATCH(C56, $A$11:$A$22, 1)</f>
        <v>6</v>
      </c>
      <c r="D57">
        <f t="shared" si="8"/>
        <v>5</v>
      </c>
      <c r="E57">
        <f t="shared" si="8"/>
        <v>5</v>
      </c>
      <c r="F57">
        <f t="shared" si="8"/>
        <v>5</v>
      </c>
      <c r="G57">
        <f t="shared" si="8"/>
        <v>5</v>
      </c>
    </row>
    <row r="58" spans="1:15" x14ac:dyDescent="0.2">
      <c r="A58" s="8" t="s">
        <v>42</v>
      </c>
      <c r="B58" cm="1">
        <f t="array" ref="B58">IF(B55=1, INDEX($F$12:$F$22, B57), INDEX($N$12:$N$22, B57))</f>
        <v>787.49999999999955</v>
      </c>
      <c r="C58" cm="1">
        <f t="array" ref="C58">IF(C55=1, INDEX($F$12:$F$22, C57), INDEX($N$12:$N$22, C57))</f>
        <v>704.91803278688519</v>
      </c>
      <c r="D58" cm="1">
        <f t="array" ref="D58">IF(D55=1, INDEX($F$12:$F$22, D57), INDEX($N$12:$N$22, D57))</f>
        <v>652.17391304347814</v>
      </c>
      <c r="E58" cm="1">
        <f t="array" ref="E58">IF(E55=1, INDEX($F$12:$F$22, E57), INDEX($N$12:$N$22, E57))</f>
        <v>652.17391304347814</v>
      </c>
      <c r="F58" cm="1">
        <f t="array" ref="F58">IF(F55=1, INDEX($F$12:$F$22, F57), INDEX($N$12:$N$22, F57))</f>
        <v>652.17391304347814</v>
      </c>
      <c r="G58" cm="1">
        <f t="array" ref="G58">IF(G55=1, INDEX($F$12:$F$22, G57), INDEX($N$12:$N$22, G57))</f>
        <v>652.17391304347814</v>
      </c>
    </row>
    <row r="59" spans="1:15" x14ac:dyDescent="0.2">
      <c r="A59" s="8" t="s">
        <v>43</v>
      </c>
      <c r="B59" cm="1">
        <f t="array" ref="B59">IF(B55=1, INDEX($G$12:$G$22, B57), INDEX($O$12:$O$22, B57))</f>
        <v>714.40000000000009</v>
      </c>
      <c r="C59" cm="1">
        <f t="array" ref="C59">IF(C55=1, INDEX($G$12:$G$22, C57), INDEX($O$12:$O$22, C57))</f>
        <v>735.54098360655735</v>
      </c>
      <c r="D59" cm="1">
        <f t="array" ref="D59">IF(D55=1, INDEX($G$12:$G$22, D57), INDEX($O$12:$O$22, D57))</f>
        <v>745.82608695652175</v>
      </c>
      <c r="E59" cm="1">
        <f t="array" ref="E59">IF(E55=1, INDEX($G$12:$G$22, E57), INDEX($O$12:$O$22, E57))</f>
        <v>745.82608695652175</v>
      </c>
      <c r="F59" cm="1">
        <f t="array" ref="F59">IF(F55=1, INDEX($G$12:$G$22, F57), INDEX($O$12:$O$22, F57))</f>
        <v>745.82608695652175</v>
      </c>
      <c r="G59" cm="1">
        <f t="array" ref="G59">IF(G55=1, INDEX($G$12:$G$22, G57), INDEX($O$12:$O$22, G57))</f>
        <v>745.82608695652175</v>
      </c>
    </row>
    <row r="60" spans="1:15" x14ac:dyDescent="0.2">
      <c r="A60" s="8" t="s">
        <v>37</v>
      </c>
      <c r="B60">
        <f>B58*B56+B59</f>
        <v>922.93205824808138</v>
      </c>
      <c r="C60">
        <f>C58*C56+C59</f>
        <v>879.03696701086801</v>
      </c>
      <c r="D60">
        <f>D58*D56+D59</f>
        <v>868.63338561378089</v>
      </c>
      <c r="E60">
        <f t="shared" ref="E60:O60" si="9">E58*E56+E59</f>
        <v>865.55410829906623</v>
      </c>
      <c r="F60">
        <f t="shared" si="9"/>
        <v>864.5684374265785</v>
      </c>
      <c r="G60">
        <f t="shared" si="9"/>
        <v>864.24761352725068</v>
      </c>
    </row>
    <row r="61" spans="1:15" x14ac:dyDescent="0.2">
      <c r="A61" s="9" t="s">
        <v>39</v>
      </c>
      <c r="B61" s="9">
        <v>2</v>
      </c>
      <c r="C61">
        <f>B61</f>
        <v>2</v>
      </c>
      <c r="D61">
        <f>C61</f>
        <v>2</v>
      </c>
      <c r="E61">
        <f t="shared" ref="E61:O61" si="10">D61</f>
        <v>2</v>
      </c>
      <c r="F61">
        <f t="shared" si="10"/>
        <v>2</v>
      </c>
      <c r="G61">
        <f t="shared" si="10"/>
        <v>2</v>
      </c>
    </row>
    <row r="62" spans="1:15" x14ac:dyDescent="0.2">
      <c r="A62" s="9" t="s">
        <v>45</v>
      </c>
      <c r="B62">
        <f>COUNTIF(D27:D45, B61)</f>
        <v>6</v>
      </c>
      <c r="C62">
        <f>B62</f>
        <v>6</v>
      </c>
      <c r="D62">
        <f>C62</f>
        <v>6</v>
      </c>
      <c r="E62">
        <f t="shared" ref="E62:O62" si="11">D62</f>
        <v>6</v>
      </c>
      <c r="F62">
        <f t="shared" si="11"/>
        <v>6</v>
      </c>
      <c r="G62">
        <f t="shared" si="11"/>
        <v>6</v>
      </c>
    </row>
    <row r="63" spans="1:15" x14ac:dyDescent="0.2">
      <c r="A63" t="s">
        <v>35</v>
      </c>
      <c r="B63" s="8">
        <f>B6</f>
        <v>20.242396473684209</v>
      </c>
      <c r="C63">
        <f>B63*B84</f>
        <v>17.770379253719778</v>
      </c>
      <c r="D63">
        <f>C63*C84</f>
        <v>16.757618295948149</v>
      </c>
      <c r="E63">
        <f t="shared" ref="E63:O63" si="12">D63*D84</f>
        <v>16.37203922651252</v>
      </c>
      <c r="F63">
        <f t="shared" si="12"/>
        <v>16.231751399709278</v>
      </c>
      <c r="G63">
        <f t="shared" si="12"/>
        <v>16.183401995230348</v>
      </c>
    </row>
    <row r="64" spans="1:15" x14ac:dyDescent="0.2">
      <c r="A64" t="s">
        <v>48</v>
      </c>
      <c r="B64" s="8">
        <f>_xlfn.MAXIFS($B$27:$B$45, $D$27:$D$45, B61)</f>
        <v>3351880.40539975</v>
      </c>
      <c r="C64">
        <f>B64</f>
        <v>3351880.40539975</v>
      </c>
      <c r="D64">
        <f>C64</f>
        <v>3351880.40539975</v>
      </c>
      <c r="E64">
        <f t="shared" ref="E64:O64" si="13">D64</f>
        <v>3351880.40539975</v>
      </c>
      <c r="F64">
        <f t="shared" si="13"/>
        <v>3351880.40539975</v>
      </c>
      <c r="G64">
        <f t="shared" si="13"/>
        <v>3351880.40539975</v>
      </c>
    </row>
    <row r="65" spans="1:7" x14ac:dyDescent="0.2">
      <c r="A65" t="s">
        <v>40</v>
      </c>
      <c r="B65">
        <f>INDEX($E$27:$E$45,MATCH(B64,$B$27:$B$45,0))</f>
        <v>2</v>
      </c>
      <c r="C65">
        <f>B65</f>
        <v>2</v>
      </c>
      <c r="D65">
        <f>C65</f>
        <v>2</v>
      </c>
      <c r="E65">
        <f t="shared" ref="E65:O65" si="14">D65</f>
        <v>2</v>
      </c>
      <c r="F65">
        <f t="shared" si="14"/>
        <v>2</v>
      </c>
      <c r="G65">
        <f t="shared" si="14"/>
        <v>2</v>
      </c>
    </row>
    <row r="66" spans="1:7" x14ac:dyDescent="0.2">
      <c r="A66" s="8" t="s">
        <v>46</v>
      </c>
      <c r="B66">
        <f>B64/B63/1000000</f>
        <v>0.16558713340870021</v>
      </c>
      <c r="C66">
        <f>C64/C63/1000000</f>
        <v>0.18862177095618929</v>
      </c>
      <c r="D66">
        <f>D64/D63/1000000</f>
        <v>0.20002128859864332</v>
      </c>
      <c r="E66">
        <f t="shared" ref="E66:O66" si="15">E64/E63/1000000</f>
        <v>0.20473200430474101</v>
      </c>
      <c r="F66">
        <f t="shared" si="15"/>
        <v>0.20650146264929764</v>
      </c>
      <c r="G66">
        <f t="shared" si="15"/>
        <v>0.20711840479446983</v>
      </c>
    </row>
    <row r="67" spans="1:7" x14ac:dyDescent="0.2">
      <c r="A67" s="8" t="s">
        <v>47</v>
      </c>
      <c r="B67">
        <f>MATCH(B66, $A$11:$A$22, 1)</f>
        <v>5</v>
      </c>
      <c r="C67">
        <f t="shared" ref="C67" si="16">MATCH(C66, $A$11:$A$22, 1)</f>
        <v>5</v>
      </c>
      <c r="D67">
        <f t="shared" ref="D67" si="17">MATCH(D66, $A$11:$A$22, 1)</f>
        <v>6</v>
      </c>
      <c r="E67">
        <f t="shared" ref="E67" si="18">MATCH(E66, $A$11:$A$22, 1)</f>
        <v>6</v>
      </c>
      <c r="F67">
        <f t="shared" ref="F67" si="19">MATCH(F66, $A$11:$A$22, 1)</f>
        <v>6</v>
      </c>
      <c r="G67">
        <f t="shared" ref="G67" si="20">MATCH(G66, $A$11:$A$22, 1)</f>
        <v>6</v>
      </c>
    </row>
    <row r="68" spans="1:7" x14ac:dyDescent="0.2">
      <c r="A68" s="8" t="s">
        <v>42</v>
      </c>
      <c r="B68" cm="1">
        <f t="array" ref="B68">IF(B65=1, INDEX($F$12:$F$22, B67), INDEX($N$12:$N$22, B67))</f>
        <v>907.50802668767403</v>
      </c>
      <c r="C68" cm="1">
        <f t="array" ref="C68">IF(C65=1, INDEX($F$12:$F$22, C67), INDEX($N$12:$N$22, C67))</f>
        <v>907.50802668767403</v>
      </c>
      <c r="D68" cm="1">
        <f t="array" ref="D68">IF(D65=1, INDEX($F$12:$F$22, D67), INDEX($N$12:$N$22, D67))</f>
        <v>961.02600817147493</v>
      </c>
      <c r="E68" cm="1">
        <f t="array" ref="E68">IF(E65=1, INDEX($F$12:$F$22, E67), INDEX($N$12:$N$22, E67))</f>
        <v>961.02600817147493</v>
      </c>
      <c r="F68" cm="1">
        <f t="array" ref="F68">IF(F65=1, INDEX($F$12:$F$22, F67), INDEX($N$12:$N$22, F67))</f>
        <v>961.02600817147493</v>
      </c>
      <c r="G68" cm="1">
        <f t="array" ref="G68">IF(G65=1, INDEX($F$12:$F$22, G67), INDEX($N$12:$N$22, G67))</f>
        <v>961.02600817147493</v>
      </c>
    </row>
    <row r="69" spans="1:7" x14ac:dyDescent="0.2">
      <c r="A69" s="8" t="s">
        <v>43</v>
      </c>
      <c r="B69" cm="1">
        <f t="array" ref="B69">IF(B65=1, INDEX($G$12:$G$22, B67), INDEX($O$12:$O$22, B67))</f>
        <v>675.1892387914279</v>
      </c>
      <c r="C69" cm="1">
        <f t="array" ref="C69">IF(C65=1, INDEX($G$12:$G$22, C67), INDEX($O$12:$O$22, C67))</f>
        <v>675.1892387914279</v>
      </c>
      <c r="D69" cm="1">
        <f t="array" ref="D69">IF(D65=1, INDEX($G$12:$G$22, D67), INDEX($O$12:$O$22, D67))</f>
        <v>664.74571645228798</v>
      </c>
      <c r="E69" cm="1">
        <f t="array" ref="E69">IF(E65=1, INDEX($G$12:$G$22, E67), INDEX($O$12:$O$22, E67))</f>
        <v>664.74571645228798</v>
      </c>
      <c r="F69" cm="1">
        <f t="array" ref="F69">IF(F65=1, INDEX($G$12:$G$22, F67), INDEX($O$12:$O$22, F67))</f>
        <v>664.74571645228798</v>
      </c>
      <c r="G69" cm="1">
        <f t="array" ref="G69">IF(G65=1, INDEX($G$12:$G$22, G67), INDEX($O$12:$O$22, G67))</f>
        <v>664.74571645228798</v>
      </c>
    </row>
    <row r="70" spans="1:7" x14ac:dyDescent="0.2">
      <c r="A70" s="8" t="s">
        <v>37</v>
      </c>
      <c r="B70">
        <f>B68*B66+B69</f>
        <v>825.46089147602606</v>
      </c>
      <c r="C70">
        <f>C68*C66+C69</f>
        <v>846.36500994221365</v>
      </c>
      <c r="D70">
        <f>D68*D66+D69</f>
        <v>856.97137698355675</v>
      </c>
      <c r="E70">
        <f t="shared" ref="E70:O70" si="21">E68*E66+E69</f>
        <v>861.4984972942184</v>
      </c>
      <c r="F70">
        <f t="shared" si="21"/>
        <v>863.19899278371338</v>
      </c>
      <c r="G70">
        <f t="shared" si="21"/>
        <v>863.79189023076106</v>
      </c>
    </row>
    <row r="71" spans="1:7" x14ac:dyDescent="0.2">
      <c r="A71" s="9" t="s">
        <v>39</v>
      </c>
      <c r="B71" s="9">
        <v>3</v>
      </c>
      <c r="C71">
        <f>B71</f>
        <v>3</v>
      </c>
      <c r="D71">
        <f>C71</f>
        <v>3</v>
      </c>
      <c r="E71">
        <f t="shared" ref="E71:O71" si="22">D71</f>
        <v>3</v>
      </c>
      <c r="F71">
        <f t="shared" si="22"/>
        <v>3</v>
      </c>
      <c r="G71">
        <f t="shared" si="22"/>
        <v>3</v>
      </c>
    </row>
    <row r="72" spans="1:7" x14ac:dyDescent="0.2">
      <c r="A72" s="9" t="s">
        <v>45</v>
      </c>
      <c r="B72">
        <f>COUNTIF(D27:D45, B71)</f>
        <v>6</v>
      </c>
      <c r="C72">
        <f>B72</f>
        <v>6</v>
      </c>
      <c r="D72">
        <f>C72</f>
        <v>6</v>
      </c>
      <c r="E72">
        <f t="shared" ref="E72:O72" si="23">D72</f>
        <v>6</v>
      </c>
      <c r="F72">
        <f t="shared" si="23"/>
        <v>6</v>
      </c>
      <c r="G72">
        <f t="shared" si="23"/>
        <v>6</v>
      </c>
    </row>
    <row r="73" spans="1:7" x14ac:dyDescent="0.2">
      <c r="A73" t="s">
        <v>35</v>
      </c>
      <c r="B73" s="8">
        <f>B6</f>
        <v>20.242396473684209</v>
      </c>
      <c r="C73">
        <f>B73*B85</f>
        <v>15.609931178833726</v>
      </c>
      <c r="D73">
        <f>C73*C85</f>
        <v>14.133200424969703</v>
      </c>
      <c r="E73">
        <f t="shared" ref="E73:O73" si="24">D73*D85</f>
        <v>13.66465097032953</v>
      </c>
      <c r="F73">
        <f t="shared" si="24"/>
        <v>13.522174298085805</v>
      </c>
      <c r="G73">
        <f t="shared" si="24"/>
        <v>13.477471893012513</v>
      </c>
    </row>
    <row r="74" spans="1:7" x14ac:dyDescent="0.2">
      <c r="A74" t="s">
        <v>48</v>
      </c>
      <c r="B74" s="8">
        <f>_xlfn.MAXIFS($B$27:$B$45, $D$27:$D$45, B71)</f>
        <v>2791240.4248382901</v>
      </c>
      <c r="C74">
        <f>B74</f>
        <v>2791240.4248382901</v>
      </c>
      <c r="D74">
        <f>C74</f>
        <v>2791240.4248382901</v>
      </c>
      <c r="E74">
        <f t="shared" ref="E74:O74" si="25">D74</f>
        <v>2791240.4248382901</v>
      </c>
      <c r="F74">
        <f t="shared" si="25"/>
        <v>2791240.4248382901</v>
      </c>
      <c r="G74">
        <f t="shared" si="25"/>
        <v>2791240.4248382901</v>
      </c>
    </row>
    <row r="75" spans="1:7" x14ac:dyDescent="0.2">
      <c r="A75" t="s">
        <v>40</v>
      </c>
      <c r="B75">
        <f>INDEX($E$27:$E$45,MATCH(B74,$B$27:$B$45,0))</f>
        <v>2</v>
      </c>
      <c r="C75">
        <f>B75</f>
        <v>2</v>
      </c>
      <c r="D75">
        <f>C75</f>
        <v>2</v>
      </c>
      <c r="E75">
        <f t="shared" ref="E75:O75" si="26">D75</f>
        <v>2</v>
      </c>
      <c r="F75">
        <f t="shared" si="26"/>
        <v>2</v>
      </c>
      <c r="G75">
        <f t="shared" si="26"/>
        <v>2</v>
      </c>
    </row>
    <row r="76" spans="1:7" x14ac:dyDescent="0.2">
      <c r="A76" s="8" t="s">
        <v>46</v>
      </c>
      <c r="B76">
        <f>B74/B73/1000000</f>
        <v>0.13789080894977016</v>
      </c>
      <c r="C76">
        <f>C74/C73/1000000</f>
        <v>0.17881183413691601</v>
      </c>
      <c r="D76">
        <f>D74/D73/1000000</f>
        <v>0.19749528351037121</v>
      </c>
      <c r="E76">
        <f t="shared" ref="E76:O76" si="27">E74/E73/1000000</f>
        <v>0.2042672316255274</v>
      </c>
      <c r="F76">
        <f t="shared" si="27"/>
        <v>0.20641949758282715</v>
      </c>
      <c r="G76">
        <f t="shared" si="27"/>
        <v>0.20710415476996302</v>
      </c>
    </row>
    <row r="77" spans="1:7" x14ac:dyDescent="0.2">
      <c r="A77" s="8" t="s">
        <v>47</v>
      </c>
      <c r="B77">
        <f>MATCH(B76, $A$11:$A$22, 1)</f>
        <v>4</v>
      </c>
      <c r="C77">
        <f t="shared" ref="C77" si="28">MATCH(C76, $A$11:$A$22, 1)</f>
        <v>5</v>
      </c>
      <c r="D77">
        <f t="shared" ref="D77" si="29">MATCH(D76, $A$11:$A$22, 1)</f>
        <v>6</v>
      </c>
      <c r="E77">
        <f t="shared" ref="E77" si="30">MATCH(E76, $A$11:$A$22, 1)</f>
        <v>6</v>
      </c>
      <c r="F77">
        <f t="shared" ref="F77" si="31">MATCH(F76, $A$11:$A$22, 1)</f>
        <v>6</v>
      </c>
      <c r="G77">
        <f t="shared" ref="G77" si="32">MATCH(G76, $A$11:$A$22, 1)</f>
        <v>6</v>
      </c>
    </row>
    <row r="78" spans="1:7" x14ac:dyDescent="0.2">
      <c r="A78" s="8" t="s">
        <v>42</v>
      </c>
      <c r="B78" cm="1">
        <f t="array" ref="B78">IF(B75=1, INDEX($F$12:$F$22, B77), INDEX($N$12:$N$22, B77))</f>
        <v>857.30651083646865</v>
      </c>
      <c r="C78" cm="1">
        <f t="array" ref="C78">IF(C75=1, INDEX($F$12:$F$22, C77), INDEX($N$12:$N$22, C77))</f>
        <v>907.50802668767403</v>
      </c>
      <c r="D78" cm="1">
        <f t="array" ref="D78">IF(D75=1, INDEX($F$12:$F$22, D77), INDEX($N$12:$N$22, D77))</f>
        <v>961.02600817147493</v>
      </c>
      <c r="E78" cm="1">
        <f t="array" ref="E78">IF(E75=1, INDEX($F$12:$F$22, E77), INDEX($N$12:$N$22, E77))</f>
        <v>961.02600817147493</v>
      </c>
      <c r="F78" cm="1">
        <f t="array" ref="F78">IF(F75=1, INDEX($F$12:$F$22, F77), INDEX($N$12:$N$22, F77))</f>
        <v>961.02600817147493</v>
      </c>
      <c r="G78" cm="1">
        <f t="array" ref="G78">IF(G75=1, INDEX($F$12:$F$22, G77), INDEX($N$12:$N$22, G77))</f>
        <v>961.02600817147493</v>
      </c>
    </row>
    <row r="79" spans="1:7" x14ac:dyDescent="0.2">
      <c r="A79" s="8" t="s">
        <v>43</v>
      </c>
      <c r="B79" cm="1">
        <f t="array" ref="B79">IF(B75=1, INDEX($G$12:$G$22, B77), INDEX($O$12:$O$22, B77))</f>
        <v>682.6500946897288</v>
      </c>
      <c r="C79" cm="1">
        <f t="array" ref="C79">IF(C75=1, INDEX($G$12:$G$22, C77), INDEX($O$12:$O$22, C77))</f>
        <v>675.1892387914279</v>
      </c>
      <c r="D79" cm="1">
        <f t="array" ref="D79">IF(D75=1, INDEX($G$12:$G$22, D77), INDEX($O$12:$O$22, D77))</f>
        <v>664.74571645228798</v>
      </c>
      <c r="E79" cm="1">
        <f t="array" ref="E79">IF(E75=1, INDEX($G$12:$G$22, E77), INDEX($O$12:$O$22, E77))</f>
        <v>664.74571645228798</v>
      </c>
      <c r="F79" cm="1">
        <f t="array" ref="F79">IF(F75=1, INDEX($G$12:$G$22, F77), INDEX($O$12:$O$22, F77))</f>
        <v>664.74571645228798</v>
      </c>
      <c r="G79" cm="1">
        <f t="array" ref="G79">IF(G75=1, INDEX($G$12:$G$22, G77), INDEX($O$12:$O$22, G77))</f>
        <v>664.74571645228798</v>
      </c>
    </row>
    <row r="80" spans="1:7" x14ac:dyDescent="0.2">
      <c r="A80" s="8" t="s">
        <v>37</v>
      </c>
      <c r="B80">
        <f>B78*B76+B79</f>
        <v>800.86478298687439</v>
      </c>
      <c r="C80">
        <f>C78*C76+C79</f>
        <v>837.46241353742425</v>
      </c>
      <c r="D80">
        <f>D78*D76+D79</f>
        <v>854.54382039695372</v>
      </c>
      <c r="E80">
        <f t="shared" ref="E80:O80" si="33">E78*E76+E79</f>
        <v>861.05183866160667</v>
      </c>
      <c r="F80">
        <f t="shared" si="33"/>
        <v>863.12022222307382</v>
      </c>
      <c r="G80">
        <f t="shared" si="33"/>
        <v>863.7781955865928</v>
      </c>
    </row>
    <row r="82" spans="1:7" x14ac:dyDescent="0.2">
      <c r="A82" t="s">
        <v>49</v>
      </c>
      <c r="B82">
        <f>(B80*B73*B72+B70*B63*B62+B60*B53*B52)/(B73*B72+B63*B62+B53*B52)</f>
        <v>853.6041291849458</v>
      </c>
      <c r="C82">
        <f>(C80*C73*C72+C70*C63*C62+C60*C53*C52)/(C73*C72+C63*C62+C53*C52)</f>
        <v>859.85519949455238</v>
      </c>
      <c r="D82">
        <f>(D80*D73*D72+D70*D63*D62+D60*D53*D52)/(D73*D72+D63*D62+D53*D52)</f>
        <v>862.47812099413056</v>
      </c>
      <c r="E82">
        <f t="shared" ref="E82:O82" si="34">(E80*E73*E72+E70*E63*E62+E60*E53*E52)/(E73*E72+E63*E62+E53*E52)</f>
        <v>863.55849635924983</v>
      </c>
      <c r="F82">
        <f t="shared" si="34"/>
        <v>863.91616126598183</v>
      </c>
      <c r="G82">
        <f t="shared" si="34"/>
        <v>864.03386121380731</v>
      </c>
    </row>
    <row r="83" spans="1:7" x14ac:dyDescent="0.2">
      <c r="A83" t="s">
        <v>15</v>
      </c>
      <c r="B83">
        <f>(B60-623.15)/(B82-623.15)</f>
        <v>1.3008317937644676</v>
      </c>
      <c r="C83">
        <f>(C60-623.15)/(C82-623.15)</f>
        <v>1.0810365279566116</v>
      </c>
      <c r="D83">
        <f>(D60-623.15)/(D82-623.15)</f>
        <v>1.0257189359699241</v>
      </c>
      <c r="E83">
        <f t="shared" ref="E83:O83" si="35">(E60-623.15)/(E82-623.15)</f>
        <v>1.0083009210158458</v>
      </c>
      <c r="F83">
        <f t="shared" si="35"/>
        <v>1.0027091687518168</v>
      </c>
      <c r="G83">
        <f t="shared" si="35"/>
        <v>1.0008873666851996</v>
      </c>
    </row>
    <row r="84" spans="1:7" x14ac:dyDescent="0.2">
      <c r="A84" t="s">
        <v>16</v>
      </c>
      <c r="B84">
        <f>(B70-623.15)/(B82-623.15)</f>
        <v>0.87787922130770757</v>
      </c>
      <c r="C84">
        <f>(C70-623.15)/(C82-623.15)</f>
        <v>0.94300847813590505</v>
      </c>
      <c r="D84">
        <f>(D70-623.15)/(D82-623.15)</f>
        <v>0.9769908191828871</v>
      </c>
      <c r="E84">
        <f t="shared" ref="E84:O84" si="36">(E70-623.15)/(E82-623.15)</f>
        <v>0.99143125515017938</v>
      </c>
      <c r="F84">
        <f t="shared" si="36"/>
        <v>0.99702130698725489</v>
      </c>
      <c r="G84">
        <f t="shared" si="36"/>
        <v>0.99899548694616991</v>
      </c>
    </row>
    <row r="85" spans="1:7" x14ac:dyDescent="0.2">
      <c r="A85" t="s">
        <v>17</v>
      </c>
      <c r="B85">
        <f>(B80-623.15)/(B82-623.15)</f>
        <v>0.77115035263374854</v>
      </c>
      <c r="C85">
        <f>(C80-623.15)/(C82-623.15)</f>
        <v>0.90539799715027602</v>
      </c>
      <c r="D85">
        <f>(D80-623.15)/(D82-623.15)</f>
        <v>0.96684760418366622</v>
      </c>
      <c r="E85">
        <f t="shared" ref="E85:O85" si="37">(E80-623.15)/(E82-623.15)</f>
        <v>0.98957333981284346</v>
      </c>
      <c r="F85">
        <f t="shared" si="37"/>
        <v>0.99669414074335516</v>
      </c>
      <c r="G85">
        <f t="shared" si="37"/>
        <v>0.99893863529949156</v>
      </c>
    </row>
    <row r="87" spans="1:7" x14ac:dyDescent="0.2">
      <c r="A87" t="s">
        <v>51</v>
      </c>
      <c r="B87">
        <f>SQRT((B60-B82)^2+(B70-B82)^2+(B80-B82)^2)</f>
        <v>91.541478108690981</v>
      </c>
      <c r="C87">
        <f>SQRT((C60-C82)^2+(C70-C82)^2+(C80-C82)^2)</f>
        <v>32.424717148030226</v>
      </c>
      <c r="D87">
        <f>SQRT((D60-D82)^2+(D70-D82)^2+(D80-D82)^2)</f>
        <v>11.452713132802657</v>
      </c>
      <c r="E87">
        <f t="shared" ref="E87:O87" si="38">SQRT((E60-E82)^2+(E70-E82)^2+(E80-E82)^2)</f>
        <v>3.8091201051452654</v>
      </c>
      <c r="F87">
        <f t="shared" si="38"/>
        <v>1.2543180544292869</v>
      </c>
      <c r="G87">
        <f t="shared" si="38"/>
        <v>0.41183118031270138</v>
      </c>
    </row>
    <row r="88" spans="1:7" x14ac:dyDescent="0.2">
      <c r="A88" t="s">
        <v>52</v>
      </c>
      <c r="B88">
        <f>IF(B87&lt;1, 1, 0)</f>
        <v>0</v>
      </c>
      <c r="C88">
        <f>IF(C87&lt;1, 1, 0)</f>
        <v>0</v>
      </c>
      <c r="D88">
        <f>IF(D87&lt;1, 1, 0)</f>
        <v>0</v>
      </c>
      <c r="E88">
        <f t="shared" ref="E88:O88" si="39">IF(E87&lt;1, 1, 0)</f>
        <v>0</v>
      </c>
      <c r="F88">
        <f t="shared" si="39"/>
        <v>0</v>
      </c>
      <c r="G88">
        <f t="shared" si="39"/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89F1-68D2-7D4C-81A9-D1CDBA5BE30F}">
  <dimension ref="A1:O117"/>
  <sheetViews>
    <sheetView workbookViewId="0">
      <selection activeCell="J98" sqref="J98"/>
    </sheetView>
  </sheetViews>
  <sheetFormatPr baseColWidth="10" defaultRowHeight="16" x14ac:dyDescent="0.2"/>
  <sheetData>
    <row r="1" spans="1:5" x14ac:dyDescent="0.2">
      <c r="A1" t="s">
        <v>56</v>
      </c>
    </row>
    <row r="2" spans="1:5" x14ac:dyDescent="0.2">
      <c r="A2" t="s">
        <v>0</v>
      </c>
      <c r="B2" t="s">
        <v>53</v>
      </c>
      <c r="C2" t="s">
        <v>35</v>
      </c>
      <c r="D2" t="s">
        <v>54</v>
      </c>
      <c r="E2" t="s">
        <v>55</v>
      </c>
    </row>
    <row r="3" spans="1:5" x14ac:dyDescent="0.2">
      <c r="A3" s="7">
        <v>0</v>
      </c>
      <c r="B3" s="7">
        <v>5360000</v>
      </c>
      <c r="C3" s="7">
        <v>29.5</v>
      </c>
      <c r="D3" s="7">
        <v>769</v>
      </c>
      <c r="E3" s="7">
        <v>873</v>
      </c>
    </row>
    <row r="4" spans="1:5" x14ac:dyDescent="0.2">
      <c r="A4" s="7">
        <v>1</v>
      </c>
      <c r="B4" s="7">
        <v>4830000</v>
      </c>
      <c r="C4" s="7">
        <v>29.5</v>
      </c>
      <c r="D4" s="7">
        <v>758</v>
      </c>
      <c r="E4" s="7">
        <v>864</v>
      </c>
    </row>
    <row r="5" spans="1:5" x14ac:dyDescent="0.2">
      <c r="A5" s="7">
        <v>2</v>
      </c>
      <c r="B5" s="7">
        <v>4830000</v>
      </c>
      <c r="C5" s="7">
        <v>29.5</v>
      </c>
      <c r="D5" s="7">
        <v>758</v>
      </c>
      <c r="E5" s="7">
        <v>864</v>
      </c>
    </row>
    <row r="6" spans="1:5" x14ac:dyDescent="0.2">
      <c r="A6" s="7">
        <v>3</v>
      </c>
      <c r="B6" s="7">
        <v>4830000</v>
      </c>
      <c r="C6" s="7">
        <v>29.5</v>
      </c>
      <c r="D6" s="7">
        <v>758</v>
      </c>
      <c r="E6" s="7">
        <v>864</v>
      </c>
    </row>
    <row r="7" spans="1:5" x14ac:dyDescent="0.2">
      <c r="A7" s="7">
        <v>4</v>
      </c>
      <c r="B7" s="7">
        <v>4830000</v>
      </c>
      <c r="C7" s="7">
        <v>29.5</v>
      </c>
      <c r="D7" s="7">
        <v>758</v>
      </c>
      <c r="E7" s="7">
        <v>864</v>
      </c>
    </row>
    <row r="8" spans="1:5" x14ac:dyDescent="0.2">
      <c r="A8" s="7">
        <v>5</v>
      </c>
      <c r="B8" s="7">
        <v>4830000</v>
      </c>
      <c r="C8" s="7">
        <v>29.5</v>
      </c>
      <c r="D8" s="7">
        <v>758</v>
      </c>
      <c r="E8" s="7">
        <v>864</v>
      </c>
    </row>
    <row r="9" spans="1:5" x14ac:dyDescent="0.2">
      <c r="A9" s="7">
        <v>6</v>
      </c>
      <c r="B9" s="7">
        <v>4830000</v>
      </c>
      <c r="C9" s="7">
        <v>29.5</v>
      </c>
      <c r="D9" s="7">
        <v>758</v>
      </c>
      <c r="E9" s="7">
        <v>864</v>
      </c>
    </row>
    <row r="10" spans="1:5" x14ac:dyDescent="0.2">
      <c r="A10" s="7">
        <v>7</v>
      </c>
      <c r="B10" s="7">
        <v>2790000</v>
      </c>
      <c r="C10" s="7">
        <v>13.5</v>
      </c>
      <c r="D10" s="7">
        <v>787</v>
      </c>
      <c r="E10" s="7">
        <v>860</v>
      </c>
    </row>
    <row r="11" spans="1:5" x14ac:dyDescent="0.2">
      <c r="A11" s="7">
        <v>8</v>
      </c>
      <c r="B11" s="7">
        <v>3350000</v>
      </c>
      <c r="C11" s="7">
        <v>16.2</v>
      </c>
      <c r="D11" s="7">
        <v>788</v>
      </c>
      <c r="E11" s="7">
        <v>861</v>
      </c>
    </row>
    <row r="12" spans="1:5" x14ac:dyDescent="0.2">
      <c r="A12" s="7">
        <v>9</v>
      </c>
      <c r="B12" s="7">
        <v>2790000</v>
      </c>
      <c r="C12" s="7">
        <v>13.5</v>
      </c>
      <c r="D12" s="7">
        <v>787</v>
      </c>
      <c r="E12" s="7">
        <v>860</v>
      </c>
    </row>
    <row r="13" spans="1:5" x14ac:dyDescent="0.2">
      <c r="A13" s="7">
        <v>10</v>
      </c>
      <c r="B13" s="7">
        <v>3350000</v>
      </c>
      <c r="C13" s="7">
        <v>16.2</v>
      </c>
      <c r="D13" s="7">
        <v>788</v>
      </c>
      <c r="E13" s="7">
        <v>861</v>
      </c>
    </row>
    <row r="14" spans="1:5" x14ac:dyDescent="0.2">
      <c r="A14" s="7">
        <v>11</v>
      </c>
      <c r="B14" s="7">
        <v>2790000</v>
      </c>
      <c r="C14" s="7">
        <v>13.5</v>
      </c>
      <c r="D14" s="7">
        <v>787</v>
      </c>
      <c r="E14" s="7">
        <v>860</v>
      </c>
    </row>
    <row r="15" spans="1:5" x14ac:dyDescent="0.2">
      <c r="A15" s="7">
        <v>12</v>
      </c>
      <c r="B15" s="7">
        <v>3350000</v>
      </c>
      <c r="C15" s="7">
        <v>16.2</v>
      </c>
      <c r="D15" s="7">
        <v>788</v>
      </c>
      <c r="E15" s="7">
        <v>861</v>
      </c>
    </row>
    <row r="16" spans="1:5" x14ac:dyDescent="0.2">
      <c r="A16" s="7">
        <v>13</v>
      </c>
      <c r="B16" s="7">
        <v>2790000</v>
      </c>
      <c r="C16" s="7">
        <v>13.5</v>
      </c>
      <c r="D16" s="7">
        <v>787</v>
      </c>
      <c r="E16" s="7">
        <v>860</v>
      </c>
    </row>
    <row r="17" spans="1:5" x14ac:dyDescent="0.2">
      <c r="A17" s="7">
        <v>14</v>
      </c>
      <c r="B17" s="7">
        <v>3350000</v>
      </c>
      <c r="C17" s="7">
        <v>16.2</v>
      </c>
      <c r="D17" s="7">
        <v>788</v>
      </c>
      <c r="E17" s="7">
        <v>861</v>
      </c>
    </row>
    <row r="18" spans="1:5" x14ac:dyDescent="0.2">
      <c r="A18" s="7">
        <v>15</v>
      </c>
      <c r="B18" s="7">
        <v>2790000</v>
      </c>
      <c r="C18" s="7">
        <v>13.5</v>
      </c>
      <c r="D18" s="7">
        <v>787</v>
      </c>
      <c r="E18" s="7">
        <v>860</v>
      </c>
    </row>
    <row r="19" spans="1:5" x14ac:dyDescent="0.2">
      <c r="A19" s="7">
        <v>16</v>
      </c>
      <c r="B19" s="7">
        <v>3350000</v>
      </c>
      <c r="C19" s="7">
        <v>16.2</v>
      </c>
      <c r="D19" s="7">
        <v>788</v>
      </c>
      <c r="E19" s="7">
        <v>861</v>
      </c>
    </row>
    <row r="20" spans="1:5" x14ac:dyDescent="0.2">
      <c r="A20" s="7">
        <v>17</v>
      </c>
      <c r="B20" s="7">
        <v>2790000</v>
      </c>
      <c r="C20" s="7">
        <v>13.5</v>
      </c>
      <c r="D20" s="7">
        <v>787</v>
      </c>
      <c r="E20" s="7">
        <v>860</v>
      </c>
    </row>
    <row r="21" spans="1:5" x14ac:dyDescent="0.2">
      <c r="A21" s="7">
        <v>18</v>
      </c>
      <c r="B21" s="7">
        <v>3350000</v>
      </c>
      <c r="C21" s="7">
        <v>16.2</v>
      </c>
      <c r="D21" s="7">
        <v>788</v>
      </c>
      <c r="E21" s="7">
        <v>861</v>
      </c>
    </row>
    <row r="24" spans="1:5" x14ac:dyDescent="0.2">
      <c r="A24" t="s">
        <v>18</v>
      </c>
      <c r="B24" t="s">
        <v>23</v>
      </c>
      <c r="C24" t="s">
        <v>24</v>
      </c>
      <c r="D24" t="s">
        <v>25</v>
      </c>
    </row>
    <row r="25" spans="1:5" x14ac:dyDescent="0.2">
      <c r="A25" t="s">
        <v>19</v>
      </c>
      <c r="B25" s="2">
        <v>71209321.224425435</v>
      </c>
      <c r="C25" t="s">
        <v>22</v>
      </c>
      <c r="D25" t="s">
        <v>26</v>
      </c>
    </row>
    <row r="26" spans="1:5" x14ac:dyDescent="0.2">
      <c r="A26" t="s">
        <v>20</v>
      </c>
      <c r="B26">
        <v>1277.444</v>
      </c>
      <c r="C26" t="s">
        <v>21</v>
      </c>
    </row>
    <row r="27" spans="1:5" x14ac:dyDescent="0.2">
      <c r="A27" t="s">
        <v>28</v>
      </c>
      <c r="B27">
        <v>150</v>
      </c>
      <c r="C27" t="s">
        <v>29</v>
      </c>
    </row>
    <row r="28" spans="1:5" x14ac:dyDescent="0.2">
      <c r="A28" t="s">
        <v>27</v>
      </c>
      <c r="B28">
        <v>384.60553299999998</v>
      </c>
      <c r="C28" t="s">
        <v>30</v>
      </c>
    </row>
    <row r="29" spans="1:5" x14ac:dyDescent="0.2">
      <c r="A29" t="s">
        <v>57</v>
      </c>
      <c r="B29" s="1" cm="1">
        <f t="array" ref="B29">SUM(C3:C21*D3:D21)/SUM(C3:C21)-623.15</f>
        <v>149.37950350922802</v>
      </c>
    </row>
    <row r="30" spans="1:5" x14ac:dyDescent="0.2">
      <c r="A30" t="s">
        <v>58</v>
      </c>
      <c r="B30" s="10">
        <f>B29/B27</f>
        <v>0.99586335672818682</v>
      </c>
    </row>
    <row r="31" spans="1:5" x14ac:dyDescent="0.2">
      <c r="A31" t="s">
        <v>31</v>
      </c>
      <c r="B31" s="1">
        <f>B28/19*B30</f>
        <v>20.158660900505968</v>
      </c>
      <c r="C31" t="s">
        <v>30</v>
      </c>
    </row>
    <row r="32" spans="1:5" x14ac:dyDescent="0.2">
      <c r="A32" t="s">
        <v>50</v>
      </c>
      <c r="B32">
        <v>623.15</v>
      </c>
      <c r="C32" t="s">
        <v>29</v>
      </c>
    </row>
    <row r="35" spans="1:15" x14ac:dyDescent="0.2">
      <c r="A35" t="s">
        <v>32</v>
      </c>
      <c r="I35" t="s">
        <v>38</v>
      </c>
    </row>
    <row r="36" spans="1:15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44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44</v>
      </c>
    </row>
    <row r="37" spans="1:15" x14ac:dyDescent="0.2">
      <c r="A37" s="7">
        <v>0.05</v>
      </c>
      <c r="B37" s="7">
        <v>4910000</v>
      </c>
      <c r="C37" s="7">
        <v>98.1</v>
      </c>
      <c r="D37" s="7">
        <v>8260000</v>
      </c>
      <c r="E37" s="7">
        <v>790</v>
      </c>
      <c r="F37" t="s">
        <v>42</v>
      </c>
      <c r="G37" t="s">
        <v>43</v>
      </c>
      <c r="I37" s="6">
        <v>0.05</v>
      </c>
      <c r="J37" s="6">
        <v>3071560.1491993102</v>
      </c>
      <c r="K37" s="6">
        <v>61.431202983986303</v>
      </c>
      <c r="L37" s="6">
        <v>4134307.8884910299</v>
      </c>
      <c r="M37" s="6">
        <v>731.98721570684904</v>
      </c>
      <c r="N37" t="s">
        <v>42</v>
      </c>
      <c r="O37" t="s">
        <v>43</v>
      </c>
    </row>
    <row r="38" spans="1:15" x14ac:dyDescent="0.2">
      <c r="A38" s="7">
        <v>6.5699999999999995E-2</v>
      </c>
      <c r="B38" s="7">
        <v>4910000</v>
      </c>
      <c r="C38" s="7">
        <v>74.7</v>
      </c>
      <c r="D38" s="7">
        <v>5030000</v>
      </c>
      <c r="E38" s="7">
        <v>798</v>
      </c>
      <c r="F38" s="1" cm="1">
        <f t="array" ref="F38:G38">LINEST(E37:E38, A37:A38)</f>
        <v>509.55414012738873</v>
      </c>
      <c r="G38" s="1">
        <v>764.52229299363057</v>
      </c>
      <c r="I38" s="6">
        <v>6.5651621724394094E-2</v>
      </c>
      <c r="J38" s="6">
        <v>3071560.1491993102</v>
      </c>
      <c r="K38" s="6">
        <v>46.785746772467199</v>
      </c>
      <c r="L38" s="6">
        <v>2516860.8830193202</v>
      </c>
      <c r="M38" s="6">
        <v>742.50919047693901</v>
      </c>
      <c r="N38" s="1" cm="1">
        <f t="array" ref="N38:O38">LINEST(M37:M38, I37:I38)</f>
        <v>672.26099348483308</v>
      </c>
      <c r="O38" s="1">
        <v>698.37416603260749</v>
      </c>
    </row>
    <row r="39" spans="1:15" x14ac:dyDescent="0.2">
      <c r="A39" s="7">
        <v>8.6199999999999999E-2</v>
      </c>
      <c r="B39" s="7">
        <v>4910000</v>
      </c>
      <c r="C39" s="7">
        <v>56.9</v>
      </c>
      <c r="D39" s="7">
        <v>3060000</v>
      </c>
      <c r="E39" s="7">
        <v>808</v>
      </c>
      <c r="F39" s="1" cm="1">
        <f t="array" ref="F39:G39">LINEST(E38:E39, A38:A39)</f>
        <v>487.80487804878032</v>
      </c>
      <c r="G39" s="1">
        <v>765.95121951219517</v>
      </c>
      <c r="I39" s="6">
        <v>8.6202708700858902E-2</v>
      </c>
      <c r="J39" s="6">
        <v>3071560.1491993102</v>
      </c>
      <c r="K39" s="6">
        <v>35.631828691813602</v>
      </c>
      <c r="L39" s="6">
        <v>1531783.29398572</v>
      </c>
      <c r="M39" s="6">
        <v>757.99963323448401</v>
      </c>
      <c r="N39" s="1" cm="1">
        <f t="array" ref="N39:O39">LINEST(M38:M39, I38:I39)</f>
        <v>753.7529657328937</v>
      </c>
      <c r="O39" s="1">
        <v>693.02408589700292</v>
      </c>
    </row>
    <row r="40" spans="1:15" x14ac:dyDescent="0.2">
      <c r="A40" s="7">
        <v>0.113</v>
      </c>
      <c r="B40" s="7">
        <v>4910000</v>
      </c>
      <c r="C40" s="7">
        <v>43.4</v>
      </c>
      <c r="D40" s="7">
        <v>1860000</v>
      </c>
      <c r="E40" s="7">
        <v>823</v>
      </c>
      <c r="F40" s="1" cm="1">
        <f t="array" ref="F40:G40">LINEST(E39:E40, A39:A40)</f>
        <v>559.70149253731324</v>
      </c>
      <c r="G40" s="1">
        <v>759.75373134328356</v>
      </c>
      <c r="I40" s="6">
        <v>0.113186952464938</v>
      </c>
      <c r="J40" s="6">
        <v>3071560.1491993102</v>
      </c>
      <c r="K40" s="6">
        <v>27.137051420752499</v>
      </c>
      <c r="L40" s="6">
        <v>932667.18428831396</v>
      </c>
      <c r="M40" s="6">
        <v>779.68600597965803</v>
      </c>
      <c r="N40" s="1" cm="1">
        <f t="array" ref="N40:O40">LINEST(M39:M40, I39:I40)</f>
        <v>803.66798250031047</v>
      </c>
      <c r="O40" s="1">
        <v>688.72127624680286</v>
      </c>
    </row>
    <row r="41" spans="1:15" x14ac:dyDescent="0.2">
      <c r="A41" s="7">
        <v>0.14899999999999999</v>
      </c>
      <c r="B41" s="7">
        <v>4910000</v>
      </c>
      <c r="C41" s="7">
        <v>33</v>
      </c>
      <c r="D41" s="7">
        <v>1140000</v>
      </c>
      <c r="E41" s="7">
        <v>843</v>
      </c>
      <c r="F41" s="1" cm="1">
        <f t="array" ref="F41:G41">LINEST(E40:E41, A40:A41)</f>
        <v>555.55555555555588</v>
      </c>
      <c r="G41" s="1">
        <v>760.22222222222217</v>
      </c>
      <c r="I41" s="6">
        <v>0.14861813974730201</v>
      </c>
      <c r="J41" s="6">
        <v>3071560.1491993102</v>
      </c>
      <c r="K41" s="6">
        <v>20.667464647464399</v>
      </c>
      <c r="L41" s="6">
        <v>568119.67489144695</v>
      </c>
      <c r="M41" s="6">
        <v>810.06139352349498</v>
      </c>
      <c r="N41" s="1" cm="1">
        <f t="array" ref="N41:O41">LINEST(M40:M41, I40:I41)</f>
        <v>857.30651083646865</v>
      </c>
      <c r="O41" s="1">
        <v>682.6500946897288</v>
      </c>
    </row>
    <row r="42" spans="1:15" x14ac:dyDescent="0.2">
      <c r="A42" s="7">
        <v>0.19500000000000001</v>
      </c>
      <c r="B42" s="7">
        <v>4910000</v>
      </c>
      <c r="C42" s="7">
        <v>25.1</v>
      </c>
      <c r="D42" s="7">
        <v>692000</v>
      </c>
      <c r="E42" s="7">
        <v>873</v>
      </c>
      <c r="F42" s="1" cm="1">
        <f t="array" ref="F42:G42">LINEST(E41:E42, A41:A42)</f>
        <v>652.17391304347814</v>
      </c>
      <c r="G42" s="1">
        <v>745.82608695652175</v>
      </c>
      <c r="I42" s="6">
        <v>0.19514043784146101</v>
      </c>
      <c r="J42" s="6">
        <v>3071560.1491993102</v>
      </c>
      <c r="K42" s="6">
        <v>15.740254470960799</v>
      </c>
      <c r="L42" s="6">
        <v>346074.884318367</v>
      </c>
      <c r="M42" s="6">
        <v>852.28075246390097</v>
      </c>
      <c r="N42" s="1" cm="1">
        <f t="array" ref="N42:O42">LINEST(M41:M42, I41:I42)</f>
        <v>907.50802668767403</v>
      </c>
      <c r="O42" s="1">
        <v>675.1892387914279</v>
      </c>
    </row>
    <row r="43" spans="1:15" x14ac:dyDescent="0.2">
      <c r="A43" s="7">
        <v>0.25600000000000001</v>
      </c>
      <c r="B43" s="7">
        <v>4910000</v>
      </c>
      <c r="C43" s="7">
        <v>19.2</v>
      </c>
      <c r="D43" s="7">
        <v>422000</v>
      </c>
      <c r="E43" s="7">
        <v>916</v>
      </c>
      <c r="F43" s="1" cm="1">
        <f t="array" ref="F43:G43">LINEST(E42:E43, A42:A43)</f>
        <v>704.91803278688519</v>
      </c>
      <c r="G43" s="1">
        <v>735.54098360655735</v>
      </c>
      <c r="I43" s="6">
        <v>0.25622572416600498</v>
      </c>
      <c r="J43" s="6">
        <v>3071560.1491993102</v>
      </c>
      <c r="K43" s="6">
        <v>11.987711847422799</v>
      </c>
      <c r="L43" s="6">
        <v>210929.507367399</v>
      </c>
      <c r="M43" s="6">
        <v>910.98530133838904</v>
      </c>
      <c r="N43" s="1" cm="1">
        <f t="array" ref="N43:O43">LINEST(M42:M43, I42:I43)</f>
        <v>961.02600817147493</v>
      </c>
      <c r="O43" s="1">
        <v>664.74571645228798</v>
      </c>
    </row>
    <row r="44" spans="1:15" x14ac:dyDescent="0.2">
      <c r="A44" s="7">
        <v>0.33600000000000002</v>
      </c>
      <c r="B44" s="7">
        <v>4910000</v>
      </c>
      <c r="C44" s="7">
        <v>14.6</v>
      </c>
      <c r="D44" s="7">
        <v>257000</v>
      </c>
      <c r="E44" s="7">
        <v>979</v>
      </c>
      <c r="F44" s="1" cm="1">
        <f t="array" ref="F44:G44">LINEST(E43:E44, A43:A44)</f>
        <v>787.49999999999955</v>
      </c>
      <c r="G44" s="1">
        <v>714.40000000000009</v>
      </c>
      <c r="I44" s="6">
        <v>0.33643268638011098</v>
      </c>
      <c r="J44" s="6">
        <v>3071560.1491993102</v>
      </c>
      <c r="K44" s="6">
        <v>9.1297911099190099</v>
      </c>
      <c r="L44" s="6">
        <v>128680.362250459</v>
      </c>
      <c r="M44" s="6">
        <v>991.29287369325095</v>
      </c>
      <c r="N44" s="1" cm="1">
        <f t="array" ref="N44:O44">LINEST(M43:M44, I43:I44)</f>
        <v>1001.2543816394311</v>
      </c>
      <c r="O44" s="1">
        <v>654.43817232844026</v>
      </c>
    </row>
    <row r="45" spans="1:15" x14ac:dyDescent="0.2">
      <c r="A45" s="7">
        <v>0.442</v>
      </c>
      <c r="B45" s="7">
        <v>4910000</v>
      </c>
      <c r="C45" s="7">
        <v>11.1</v>
      </c>
      <c r="D45" s="7">
        <v>157000</v>
      </c>
      <c r="E45" s="7">
        <v>1070</v>
      </c>
      <c r="F45" s="1" cm="1">
        <f t="array" ref="F45:G45">LINEST(E44:E45, A44:A45)</f>
        <v>858.4905660377359</v>
      </c>
      <c r="G45" s="1">
        <v>690.54716981132071</v>
      </c>
      <c r="I45" s="6">
        <v>0.44174702923897702</v>
      </c>
      <c r="J45" s="6">
        <v>3071560.1491993102</v>
      </c>
      <c r="K45" s="6">
        <v>6.9532106520124604</v>
      </c>
      <c r="L45" s="6">
        <v>78668.062384500401</v>
      </c>
      <c r="M45" s="6">
        <v>1098.7436672691699</v>
      </c>
      <c r="N45" s="1" cm="1">
        <f t="array" ref="N45:O45">LINEST(M44:M45, I44:I45)</f>
        <v>1020.2864173963088</v>
      </c>
      <c r="O45" s="1">
        <v>648.03517341147165</v>
      </c>
    </row>
    <row r="46" spans="1:15" x14ac:dyDescent="0.2">
      <c r="A46" s="7">
        <v>0.57999999999999996</v>
      </c>
      <c r="B46" s="7">
        <v>4910000</v>
      </c>
      <c r="C46" s="7">
        <v>8.4600000000000009</v>
      </c>
      <c r="D46" s="7">
        <v>96400</v>
      </c>
      <c r="E46" s="7">
        <v>1190</v>
      </c>
      <c r="F46" s="1" cm="1">
        <f t="array" ref="F46:G46">LINEST(E45:E46, A45:A46)</f>
        <v>869.56521739130505</v>
      </c>
      <c r="G46" s="1">
        <v>685.65217391304304</v>
      </c>
      <c r="I46" s="6">
        <v>0.580028177229444</v>
      </c>
      <c r="J46" s="6">
        <v>3071560.1491993102</v>
      </c>
      <c r="K46" s="6">
        <v>5.2955360959719098</v>
      </c>
      <c r="L46" s="6">
        <v>48708.924398167299</v>
      </c>
      <c r="M46" s="6">
        <v>1241.0423081661299</v>
      </c>
      <c r="N46" s="1" cm="1">
        <f t="array" ref="N46:O46">LINEST(M45:M46, I45:I46)</f>
        <v>1029.0530774792958</v>
      </c>
      <c r="O46" s="1">
        <v>644.16252736346428</v>
      </c>
    </row>
    <row r="47" spans="1:15" x14ac:dyDescent="0.2">
      <c r="A47" s="7">
        <v>0.76200000000000001</v>
      </c>
      <c r="B47" s="7">
        <v>4910000</v>
      </c>
      <c r="C47" s="7">
        <v>6.44</v>
      </c>
      <c r="D47" s="7">
        <v>59400</v>
      </c>
      <c r="E47" s="7">
        <v>1350</v>
      </c>
      <c r="F47" s="1" cm="1">
        <f t="array" ref="F47:G47">LINEST(E46:E47, A46:A47)</f>
        <v>879.12087912087907</v>
      </c>
      <c r="G47" s="1">
        <v>680.1098901098901</v>
      </c>
      <c r="I47" s="6">
        <v>0.76159580961914697</v>
      </c>
      <c r="J47" s="6">
        <v>3071560.1491993102</v>
      </c>
      <c r="K47" s="6">
        <v>4.0330581003791401</v>
      </c>
      <c r="L47" s="6">
        <v>30783.734670436199</v>
      </c>
      <c r="M47" s="6">
        <v>1427.5625863988901</v>
      </c>
      <c r="N47" s="1" cm="1">
        <f t="array" ref="N47:O47">LINEST(M46:M47, I46:I47)</f>
        <v>1027.2771406327931</v>
      </c>
      <c r="O47" s="1">
        <v>645.19262077541566</v>
      </c>
    </row>
    <row r="48" spans="1:15" x14ac:dyDescent="0.2">
      <c r="A48" s="7">
        <v>1</v>
      </c>
      <c r="B48" s="7">
        <v>4910000</v>
      </c>
      <c r="C48" s="7">
        <v>4.91</v>
      </c>
      <c r="D48" s="7">
        <v>38100</v>
      </c>
      <c r="E48" s="7">
        <v>1570</v>
      </c>
      <c r="F48" s="1" cm="1">
        <f t="array" ref="F48:G48">LINEST(E47:E48, A47:A48)</f>
        <v>924.36974789915973</v>
      </c>
      <c r="G48" s="1">
        <v>645.63025210084027</v>
      </c>
      <c r="I48" s="6">
        <v>1</v>
      </c>
      <c r="J48" s="6">
        <v>3071560.1491993102</v>
      </c>
      <c r="K48" s="6">
        <v>3.0715601491993101</v>
      </c>
      <c r="L48" s="6">
        <v>19514.815060556601</v>
      </c>
      <c r="M48" s="6">
        <v>1665.9508116356301</v>
      </c>
      <c r="N48" s="1" cm="1">
        <f t="array" ref="N48:O48">LINEST(M47:M48, I47:I48)</f>
        <v>999.93303329070045</v>
      </c>
      <c r="O48" s="1">
        <v>666.01777834492941</v>
      </c>
    </row>
    <row r="51" spans="1:10" x14ac:dyDescent="0.2">
      <c r="A51" t="s">
        <v>41</v>
      </c>
    </row>
    <row r="52" spans="1:10" x14ac:dyDescent="0.2">
      <c r="A52" t="s">
        <v>0</v>
      </c>
      <c r="B52" t="s">
        <v>1</v>
      </c>
      <c r="C52" t="s">
        <v>2</v>
      </c>
      <c r="D52" t="s">
        <v>39</v>
      </c>
      <c r="E52" t="s">
        <v>40</v>
      </c>
      <c r="F52" t="s">
        <v>59</v>
      </c>
      <c r="G52" t="s">
        <v>60</v>
      </c>
      <c r="H52" t="s">
        <v>47</v>
      </c>
      <c r="I52" t="s">
        <v>61</v>
      </c>
      <c r="J52" t="s">
        <v>62</v>
      </c>
    </row>
    <row r="53" spans="1:10" x14ac:dyDescent="0.2">
      <c r="A53">
        <v>0</v>
      </c>
      <c r="B53" s="2">
        <v>5360239.4927378697</v>
      </c>
      <c r="C53" s="2">
        <v>13840.3332953751</v>
      </c>
      <c r="D53">
        <v>1</v>
      </c>
      <c r="E53">
        <v>1</v>
      </c>
      <c r="F53" s="7">
        <v>29.5</v>
      </c>
      <c r="G53" s="7">
        <v>873</v>
      </c>
      <c r="H53" s="3">
        <f>MATCH(B53/F53/1000000, A$37:A$48, 1)</f>
        <v>5</v>
      </c>
      <c r="I53" cm="1">
        <f t="array" ref="I53">IF(E53=1,INDEX(F$38:F$48,H53)*B53/F53/1000000+INDEX(G$38:G$48,H53),INDEX(N$38:N$48,H53)*B53/F53/1000000+INDEX(O$38:O$48,H53))</f>
        <v>864.32806542530295</v>
      </c>
      <c r="J53" s="6">
        <f>G53/I53</f>
        <v>1.0100331516719059</v>
      </c>
    </row>
    <row r="54" spans="1:10" x14ac:dyDescent="0.2">
      <c r="A54">
        <v>1</v>
      </c>
      <c r="B54" s="2">
        <v>4831726.2127321502</v>
      </c>
      <c r="C54" s="2">
        <v>12474.910972828</v>
      </c>
      <c r="D54">
        <v>1</v>
      </c>
      <c r="E54">
        <v>1</v>
      </c>
      <c r="F54" s="7">
        <v>29.5</v>
      </c>
      <c r="G54" s="7">
        <v>864</v>
      </c>
      <c r="H54" s="3">
        <f t="shared" ref="H54:H71" si="0">MATCH(B54/F54/1000000, A$37:A$48, 1)</f>
        <v>5</v>
      </c>
      <c r="I54" cm="1">
        <f t="array" ref="I54">IF(E54=1,INDEX(F$38:F$48,H54)*B54/F54/1000000+INDEX(G$38:G$48,H54),INDEX(N$38:N$48,H54)*B54/F54/1000000+INDEX(O$38:O$48,H54))</f>
        <v>852.64391037727671</v>
      </c>
      <c r="J54" s="6">
        <f t="shared" ref="J54:J71" si="1">G54/I54</f>
        <v>1.0133186779199519</v>
      </c>
    </row>
    <row r="55" spans="1:10" x14ac:dyDescent="0.2">
      <c r="A55">
        <v>2</v>
      </c>
      <c r="B55" s="2">
        <v>4831727.1010322999</v>
      </c>
      <c r="C55" s="2">
        <v>12474.9130773793</v>
      </c>
      <c r="D55">
        <v>1</v>
      </c>
      <c r="E55">
        <v>1</v>
      </c>
      <c r="F55" s="7">
        <v>29.5</v>
      </c>
      <c r="G55" s="7">
        <v>864</v>
      </c>
      <c r="H55" s="3">
        <f t="shared" si="0"/>
        <v>5</v>
      </c>
      <c r="I55" cm="1">
        <f t="array" ref="I55">IF(E55=1,INDEX(F$38:F$48,H55)*B55/F55/1000000+INDEX(G$38:G$48,H55),INDEX(N$38:N$48,H55)*B55/F55/1000000+INDEX(O$38:O$48,H55))</f>
        <v>852.6439300154525</v>
      </c>
      <c r="J55" s="6">
        <f t="shared" si="1"/>
        <v>1.0133186545811002</v>
      </c>
    </row>
    <row r="56" spans="1:10" x14ac:dyDescent="0.2">
      <c r="A56">
        <v>3</v>
      </c>
      <c r="B56" s="2">
        <v>4831726.2127342699</v>
      </c>
      <c r="C56" s="2">
        <v>12474.910972828</v>
      </c>
      <c r="D56">
        <v>1</v>
      </c>
      <c r="E56">
        <v>1</v>
      </c>
      <c r="F56" s="7">
        <v>29.5</v>
      </c>
      <c r="G56" s="7">
        <v>864</v>
      </c>
      <c r="H56" s="3">
        <f t="shared" si="0"/>
        <v>5</v>
      </c>
      <c r="I56" cm="1">
        <f t="array" ref="I56">IF(E56=1,INDEX(F$38:F$48,H56)*B56/F56/1000000+INDEX(G$38:G$48,H56),INDEX(N$38:N$48,H56)*B56/F56/1000000+INDEX(O$38:O$48,H56))</f>
        <v>852.64391037732355</v>
      </c>
      <c r="J56" s="6">
        <f t="shared" si="1"/>
        <v>1.0133186779198962</v>
      </c>
    </row>
    <row r="57" spans="1:10" x14ac:dyDescent="0.2">
      <c r="A57">
        <v>4</v>
      </c>
      <c r="B57" s="2">
        <v>4831727.1010305202</v>
      </c>
      <c r="C57" s="2">
        <v>12474.9130773793</v>
      </c>
      <c r="D57">
        <v>1</v>
      </c>
      <c r="E57">
        <v>1</v>
      </c>
      <c r="F57" s="7">
        <v>29.5</v>
      </c>
      <c r="G57" s="7">
        <v>864</v>
      </c>
      <c r="H57" s="3">
        <f t="shared" si="0"/>
        <v>5</v>
      </c>
      <c r="I57" cm="1">
        <f t="array" ref="I57">IF(E57=1,INDEX(F$38:F$48,H57)*B57/F57/1000000+INDEX(G$38:G$48,H57),INDEX(N$38:N$48,H57)*B57/F57/1000000+INDEX(O$38:O$48,H57))</f>
        <v>852.64393001541316</v>
      </c>
      <c r="J57" s="6">
        <f t="shared" si="1"/>
        <v>1.0133186545811468</v>
      </c>
    </row>
    <row r="58" spans="1:10" x14ac:dyDescent="0.2">
      <c r="A58">
        <v>5</v>
      </c>
      <c r="B58" s="2">
        <v>4831726.2127342699</v>
      </c>
      <c r="C58" s="2">
        <v>12474.910972828</v>
      </c>
      <c r="D58">
        <v>1</v>
      </c>
      <c r="E58">
        <v>1</v>
      </c>
      <c r="F58" s="7">
        <v>29.5</v>
      </c>
      <c r="G58" s="7">
        <v>864</v>
      </c>
      <c r="H58" s="3">
        <f t="shared" si="0"/>
        <v>5</v>
      </c>
      <c r="I58" cm="1">
        <f t="array" ref="I58">IF(E58=1,INDEX(F$38:F$48,H58)*B58/F58/1000000+INDEX(G$38:G$48,H58),INDEX(N$38:N$48,H58)*B58/F58/1000000+INDEX(O$38:O$48,H58))</f>
        <v>852.64391037732355</v>
      </c>
      <c r="J58" s="6">
        <f t="shared" si="1"/>
        <v>1.0133186779198962</v>
      </c>
    </row>
    <row r="59" spans="1:10" x14ac:dyDescent="0.2">
      <c r="A59">
        <v>6</v>
      </c>
      <c r="B59" s="2">
        <v>4831727.1010322999</v>
      </c>
      <c r="C59" s="2">
        <v>12474.9130773793</v>
      </c>
      <c r="D59">
        <v>1</v>
      </c>
      <c r="E59">
        <v>1</v>
      </c>
      <c r="F59" s="7">
        <v>29.5</v>
      </c>
      <c r="G59" s="7">
        <v>864</v>
      </c>
      <c r="H59" s="3">
        <f t="shared" si="0"/>
        <v>5</v>
      </c>
      <c r="I59" cm="1">
        <f t="array" ref="I59">IF(E59=1,INDEX(F$38:F$48,H59)*B59/F59/1000000+INDEX(G$38:G$48,H59),INDEX(N$38:N$48,H59)*B59/F59/1000000+INDEX(O$38:O$48,H59))</f>
        <v>852.6439300154525</v>
      </c>
      <c r="J59" s="6">
        <f t="shared" si="1"/>
        <v>1.0133186545811002</v>
      </c>
    </row>
    <row r="60" spans="1:10" x14ac:dyDescent="0.2">
      <c r="A60">
        <v>7</v>
      </c>
      <c r="B60" s="2">
        <v>2791239.3612005999</v>
      </c>
      <c r="C60" s="2">
        <v>8982.7115074159792</v>
      </c>
      <c r="D60">
        <v>3</v>
      </c>
      <c r="E60">
        <v>2</v>
      </c>
      <c r="F60" s="7">
        <v>13.5</v>
      </c>
      <c r="G60" s="7">
        <v>860</v>
      </c>
      <c r="H60" s="3">
        <f t="shared" si="0"/>
        <v>6</v>
      </c>
      <c r="I60" cm="1">
        <f t="array" ref="I60">IF(E60=1,INDEX(F$38:F$48,H60)*B60/F60/1000000+INDEX(G$38:G$48,H60),INDEX(N$38:N$48,H60)*B60/F60/1000000+INDEX(O$38:O$48,H60))</f>
        <v>863.44598468530353</v>
      </c>
      <c r="J60" s="6">
        <f t="shared" si="1"/>
        <v>0.99600903270566543</v>
      </c>
    </row>
    <row r="61" spans="1:10" x14ac:dyDescent="0.2">
      <c r="A61">
        <v>8</v>
      </c>
      <c r="B61" s="2">
        <v>3351880.4053993998</v>
      </c>
      <c r="C61" s="2">
        <v>10791.929283081099</v>
      </c>
      <c r="D61">
        <v>2</v>
      </c>
      <c r="E61">
        <v>2</v>
      </c>
      <c r="F61" s="7">
        <v>16.2</v>
      </c>
      <c r="G61" s="7">
        <v>861</v>
      </c>
      <c r="H61" s="3">
        <f t="shared" si="0"/>
        <v>6</v>
      </c>
      <c r="I61" cm="1">
        <f t="array" ref="I61">IF(E61=1,INDEX(F$38:F$48,H61)*B61/F61/1000000+INDEX(G$38:G$48,H61),INDEX(N$38:N$48,H61)*B61/F61/1000000+INDEX(O$38:O$48,H61))</f>
        <v>863.58795385161943</v>
      </c>
      <c r="J61" s="6">
        <f t="shared" si="1"/>
        <v>0.99700325387810573</v>
      </c>
    </row>
    <row r="62" spans="1:10" x14ac:dyDescent="0.2">
      <c r="A62">
        <v>9</v>
      </c>
      <c r="B62" s="2">
        <v>2791240.4248382901</v>
      </c>
      <c r="C62" s="2">
        <v>8982.71419800275</v>
      </c>
      <c r="D62">
        <v>3</v>
      </c>
      <c r="E62">
        <v>2</v>
      </c>
      <c r="F62" s="7">
        <v>13.5</v>
      </c>
      <c r="G62" s="7">
        <v>860</v>
      </c>
      <c r="H62" s="3">
        <f t="shared" si="0"/>
        <v>6</v>
      </c>
      <c r="I62" cm="1">
        <f t="array" ref="I62">IF(E62=1,INDEX(F$38:F$48,H62)*B62/F62/1000000+INDEX(G$38:G$48,H62),INDEX(N$38:N$48,H62)*B62/F62/1000000+INDEX(O$38:O$48,H62))</f>
        <v>863.44606040259862</v>
      </c>
      <c r="J62" s="6">
        <f t="shared" si="1"/>
        <v>0.9960089453636608</v>
      </c>
    </row>
    <row r="63" spans="1:10" x14ac:dyDescent="0.2">
      <c r="A63">
        <v>10</v>
      </c>
      <c r="B63" s="2">
        <v>3351880.40539975</v>
      </c>
      <c r="C63" s="2">
        <v>10791.929283081001</v>
      </c>
      <c r="D63">
        <v>2</v>
      </c>
      <c r="E63">
        <v>2</v>
      </c>
      <c r="F63" s="7">
        <v>16.2</v>
      </c>
      <c r="G63" s="7">
        <v>861</v>
      </c>
      <c r="H63" s="3">
        <f t="shared" si="0"/>
        <v>6</v>
      </c>
      <c r="I63" cm="1">
        <f t="array" ref="I63">IF(E63=1,INDEX(F$38:F$48,H63)*B63/F63/1000000+INDEX(G$38:G$48,H63),INDEX(N$38:N$48,H63)*B63/F63/1000000+INDEX(O$38:O$48,H63))</f>
        <v>863.58795385164024</v>
      </c>
      <c r="J63" s="6">
        <f t="shared" si="1"/>
        <v>0.99700325387808175</v>
      </c>
    </row>
    <row r="64" spans="1:10" x14ac:dyDescent="0.2">
      <c r="A64">
        <v>11</v>
      </c>
      <c r="B64" s="2">
        <v>2791239.3612398002</v>
      </c>
      <c r="C64" s="2">
        <v>8982.7115074159301</v>
      </c>
      <c r="D64">
        <v>3</v>
      </c>
      <c r="E64">
        <v>2</v>
      </c>
      <c r="F64" s="7">
        <v>13.5</v>
      </c>
      <c r="G64" s="7">
        <v>860</v>
      </c>
      <c r="H64" s="3">
        <f t="shared" si="0"/>
        <v>6</v>
      </c>
      <c r="I64" cm="1">
        <f t="array" ref="I64">IF(E64=1,INDEX(F$38:F$48,H64)*B64/F64/1000000+INDEX(G$38:G$48,H64),INDEX(N$38:N$48,H64)*B64/F64/1000000+INDEX(O$38:O$48,H64))</f>
        <v>863.44598468809409</v>
      </c>
      <c r="J64" s="6">
        <f t="shared" si="1"/>
        <v>0.99600903270244645</v>
      </c>
    </row>
    <row r="65" spans="1:10" x14ac:dyDescent="0.2">
      <c r="A65">
        <v>12</v>
      </c>
      <c r="B65" s="2">
        <v>3351880.4053993998</v>
      </c>
      <c r="C65" s="2">
        <v>10791.929283081099</v>
      </c>
      <c r="D65">
        <v>2</v>
      </c>
      <c r="E65">
        <v>2</v>
      </c>
      <c r="F65" s="7">
        <v>16.2</v>
      </c>
      <c r="G65" s="7">
        <v>861</v>
      </c>
      <c r="H65" s="3">
        <f t="shared" si="0"/>
        <v>6</v>
      </c>
      <c r="I65" cm="1">
        <f t="array" ref="I65">IF(E65=1,INDEX(F$38:F$48,H65)*B65/F65/1000000+INDEX(G$38:G$48,H65),INDEX(N$38:N$48,H65)*B65/F65/1000000+INDEX(O$38:O$48,H65))</f>
        <v>863.58795385161943</v>
      </c>
      <c r="J65" s="6">
        <f t="shared" si="1"/>
        <v>0.99700325387810573</v>
      </c>
    </row>
    <row r="66" spans="1:10" x14ac:dyDescent="0.2">
      <c r="A66">
        <v>13</v>
      </c>
      <c r="B66" s="2">
        <v>2791240.4246378802</v>
      </c>
      <c r="C66" s="2">
        <v>8982.71419800281</v>
      </c>
      <c r="D66">
        <v>3</v>
      </c>
      <c r="E66">
        <v>2</v>
      </c>
      <c r="F66" s="7">
        <v>13.5</v>
      </c>
      <c r="G66" s="7">
        <v>860</v>
      </c>
      <c r="H66" s="3">
        <f t="shared" si="0"/>
        <v>6</v>
      </c>
      <c r="I66" cm="1">
        <f t="array" ref="I66">IF(E66=1,INDEX(F$38:F$48,H66)*B66/F66/1000000+INDEX(G$38:G$48,H66),INDEX(N$38:N$48,H66)*B66/F66/1000000+INDEX(O$38:O$48,H66))</f>
        <v>863.44606038833206</v>
      </c>
      <c r="J66" s="6">
        <f t="shared" si="1"/>
        <v>0.99600894538011764</v>
      </c>
    </row>
    <row r="67" spans="1:10" x14ac:dyDescent="0.2">
      <c r="A67">
        <v>14</v>
      </c>
      <c r="B67" s="2">
        <v>3351880.4053993998</v>
      </c>
      <c r="C67" s="2">
        <v>10791.929283081099</v>
      </c>
      <c r="D67">
        <v>2</v>
      </c>
      <c r="E67">
        <v>2</v>
      </c>
      <c r="F67" s="7">
        <v>16.2</v>
      </c>
      <c r="G67" s="7">
        <v>861</v>
      </c>
      <c r="H67" s="3">
        <f t="shared" si="0"/>
        <v>6</v>
      </c>
      <c r="I67" cm="1">
        <f t="array" ref="I67">IF(E67=1,INDEX(F$38:F$48,H67)*B67/F67/1000000+INDEX(G$38:G$48,H67),INDEX(N$38:N$48,H67)*B67/F67/1000000+INDEX(O$38:O$48,H67))</f>
        <v>863.58795385161943</v>
      </c>
      <c r="J67" s="6">
        <f t="shared" si="1"/>
        <v>0.99700325387810573</v>
      </c>
    </row>
    <row r="68" spans="1:10" x14ac:dyDescent="0.2">
      <c r="A68">
        <v>15</v>
      </c>
      <c r="B68" s="2">
        <v>2791239.3612398002</v>
      </c>
      <c r="C68" s="2">
        <v>8982.7115074159192</v>
      </c>
      <c r="D68">
        <v>3</v>
      </c>
      <c r="E68">
        <v>2</v>
      </c>
      <c r="F68" s="7">
        <v>13.5</v>
      </c>
      <c r="G68" s="7">
        <v>860</v>
      </c>
      <c r="H68" s="3">
        <f t="shared" si="0"/>
        <v>6</v>
      </c>
      <c r="I68" cm="1">
        <f t="array" ref="I68">IF(E68=1,INDEX(F$38:F$48,H68)*B68/F68/1000000+INDEX(G$38:G$48,H68),INDEX(N$38:N$48,H68)*B68/F68/1000000+INDEX(O$38:O$48,H68))</f>
        <v>863.44598468809409</v>
      </c>
      <c r="J68" s="6">
        <f t="shared" si="1"/>
        <v>0.99600903270244645</v>
      </c>
    </row>
    <row r="69" spans="1:10" x14ac:dyDescent="0.2">
      <c r="A69">
        <v>16</v>
      </c>
      <c r="B69" s="2">
        <v>3351880.40539975</v>
      </c>
      <c r="C69" s="2">
        <v>10791.929283081001</v>
      </c>
      <c r="D69">
        <v>2</v>
      </c>
      <c r="E69">
        <v>2</v>
      </c>
      <c r="F69" s="7">
        <v>16.2</v>
      </c>
      <c r="G69" s="7">
        <v>861</v>
      </c>
      <c r="H69" s="3">
        <f t="shared" si="0"/>
        <v>6</v>
      </c>
      <c r="I69" cm="1">
        <f t="array" ref="I69">IF(E69=1,INDEX(F$38:F$48,H69)*B69/F69/1000000+INDEX(G$38:G$48,H69),INDEX(N$38:N$48,H69)*B69/F69/1000000+INDEX(O$38:O$48,H69))</f>
        <v>863.58795385164024</v>
      </c>
      <c r="J69" s="6">
        <f t="shared" si="1"/>
        <v>0.99700325387808175</v>
      </c>
    </row>
    <row r="70" spans="1:10" x14ac:dyDescent="0.2">
      <c r="A70">
        <v>17</v>
      </c>
      <c r="B70" s="2">
        <v>2791240.4248382901</v>
      </c>
      <c r="C70" s="2">
        <v>8982.71419800275</v>
      </c>
      <c r="D70">
        <v>3</v>
      </c>
      <c r="E70">
        <v>2</v>
      </c>
      <c r="F70" s="7">
        <v>13.5</v>
      </c>
      <c r="G70" s="7">
        <v>860</v>
      </c>
      <c r="H70" s="3">
        <f t="shared" si="0"/>
        <v>6</v>
      </c>
      <c r="I70" cm="1">
        <f t="array" ref="I70">IF(E70=1,INDEX(F$38:F$48,H70)*B70/F70/1000000+INDEX(G$38:G$48,H70),INDEX(N$38:N$48,H70)*B70/F70/1000000+INDEX(O$38:O$48,H70))</f>
        <v>863.44606040259862</v>
      </c>
      <c r="J70" s="6">
        <f t="shared" si="1"/>
        <v>0.9960089453636608</v>
      </c>
    </row>
    <row r="71" spans="1:10" x14ac:dyDescent="0.2">
      <c r="A71">
        <v>18</v>
      </c>
      <c r="B71" s="2">
        <v>3351880.4053993998</v>
      </c>
      <c r="C71" s="2">
        <v>10791.929283081099</v>
      </c>
      <c r="D71">
        <v>2</v>
      </c>
      <c r="E71">
        <v>2</v>
      </c>
      <c r="F71" s="7">
        <v>16.2</v>
      </c>
      <c r="G71" s="7">
        <v>861</v>
      </c>
      <c r="H71" s="3">
        <f t="shared" si="0"/>
        <v>6</v>
      </c>
      <c r="I71" cm="1">
        <f t="array" ref="I71">IF(E71=1,INDEX(F$38:F$48,H71)*B71/F71/1000000+INDEX(G$38:G$48,H71),INDEX(N$38:N$48,H71)*B71/F71/1000000+INDEX(O$38:O$48,H71))</f>
        <v>863.58795385161943</v>
      </c>
      <c r="J71" s="6">
        <f t="shared" si="1"/>
        <v>0.99700325387810573</v>
      </c>
    </row>
    <row r="75" spans="1:10" x14ac:dyDescent="0.2">
      <c r="A75" t="s">
        <v>13</v>
      </c>
      <c r="B75">
        <v>1</v>
      </c>
      <c r="C75">
        <f>B75+1</f>
        <v>2</v>
      </c>
      <c r="D75">
        <f>C75+1</f>
        <v>3</v>
      </c>
      <c r="E75">
        <f t="shared" ref="E75:O75" si="2">D75+1</f>
        <v>4</v>
      </c>
      <c r="F75">
        <f t="shared" si="2"/>
        <v>5</v>
      </c>
      <c r="G75">
        <f t="shared" si="2"/>
        <v>6</v>
      </c>
    </row>
    <row r="76" spans="1:10" x14ac:dyDescent="0.2">
      <c r="A76" t="s">
        <v>14</v>
      </c>
      <c r="B76">
        <f>$B28*B30</f>
        <v>383.01455710961341</v>
      </c>
      <c r="C76">
        <f>B76</f>
        <v>383.01455710961341</v>
      </c>
      <c r="D76">
        <f>C76</f>
        <v>383.01455710961341</v>
      </c>
      <c r="E76">
        <f t="shared" ref="E76:O76" si="3">D76</f>
        <v>383.01455710961341</v>
      </c>
      <c r="F76">
        <f t="shared" si="3"/>
        <v>383.01455710961341</v>
      </c>
      <c r="G76">
        <f t="shared" si="3"/>
        <v>383.01455710961341</v>
      </c>
    </row>
    <row r="77" spans="1:10" x14ac:dyDescent="0.2">
      <c r="A77" t="s">
        <v>39</v>
      </c>
      <c r="B77">
        <v>1</v>
      </c>
      <c r="C77">
        <f>B77</f>
        <v>1</v>
      </c>
      <c r="D77">
        <f>C77</f>
        <v>1</v>
      </c>
      <c r="E77">
        <f t="shared" ref="E77:O77" si="4">D77</f>
        <v>1</v>
      </c>
      <c r="F77">
        <f t="shared" si="4"/>
        <v>1</v>
      </c>
      <c r="G77">
        <f t="shared" si="4"/>
        <v>1</v>
      </c>
    </row>
    <row r="78" spans="1:10" x14ac:dyDescent="0.2">
      <c r="A78" t="s">
        <v>45</v>
      </c>
      <c r="B78">
        <f>COUNTIF(D53:D71, B77)</f>
        <v>7</v>
      </c>
      <c r="C78">
        <f>B78</f>
        <v>7</v>
      </c>
      <c r="D78">
        <f>C78</f>
        <v>7</v>
      </c>
      <c r="E78">
        <f t="shared" ref="E78:O78" si="5">D78</f>
        <v>7</v>
      </c>
      <c r="F78">
        <f t="shared" si="5"/>
        <v>7</v>
      </c>
      <c r="G78">
        <f t="shared" si="5"/>
        <v>7</v>
      </c>
    </row>
    <row r="79" spans="1:10" x14ac:dyDescent="0.2">
      <c r="A79" t="s">
        <v>35</v>
      </c>
      <c r="B79" s="11">
        <f>B$31</f>
        <v>20.158660900505968</v>
      </c>
      <c r="C79">
        <f>B79*B112</f>
        <v>26.842322401163727</v>
      </c>
      <c r="D79">
        <f>C79*C112</f>
        <v>29.193109048201858</v>
      </c>
      <c r="E79">
        <f t="shared" ref="E79:O79" si="6">D79*D112</f>
        <v>29.985575767726793</v>
      </c>
      <c r="F79">
        <f t="shared" si="6"/>
        <v>30.244611963140066</v>
      </c>
      <c r="G79">
        <f t="shared" si="6"/>
        <v>30.328698694369983</v>
      </c>
    </row>
    <row r="80" spans="1:10" x14ac:dyDescent="0.2">
      <c r="A80" t="s">
        <v>48</v>
      </c>
      <c r="B80" s="8">
        <f>_xlfn.MAXIFS($B$53:$B$71, $D$53:$D$71, B77)</f>
        <v>5360239.4927378697</v>
      </c>
      <c r="C80">
        <f>B80</f>
        <v>5360239.4927378697</v>
      </c>
      <c r="D80">
        <f>C80</f>
        <v>5360239.4927378697</v>
      </c>
      <c r="E80">
        <f t="shared" ref="E80:O80" si="7">D80</f>
        <v>5360239.4927378697</v>
      </c>
      <c r="F80">
        <f t="shared" si="7"/>
        <v>5360239.4927378697</v>
      </c>
      <c r="G80">
        <f t="shared" si="7"/>
        <v>5360239.4927378697</v>
      </c>
    </row>
    <row r="81" spans="1:7" x14ac:dyDescent="0.2">
      <c r="A81" t="s">
        <v>40</v>
      </c>
      <c r="B81">
        <f>INDEX($E$53:$E$71,MATCH(B80,$B$53:$B$71,0))</f>
        <v>1</v>
      </c>
      <c r="C81">
        <f>B81</f>
        <v>1</v>
      </c>
      <c r="D81">
        <f>C81</f>
        <v>1</v>
      </c>
      <c r="E81">
        <f t="shared" ref="E81:O81" si="8">D81</f>
        <v>1</v>
      </c>
      <c r="F81">
        <f t="shared" si="8"/>
        <v>1</v>
      </c>
      <c r="G81">
        <f t="shared" si="8"/>
        <v>1</v>
      </c>
    </row>
    <row r="82" spans="1:7" x14ac:dyDescent="0.2">
      <c r="A82" s="8" t="s">
        <v>46</v>
      </c>
      <c r="B82">
        <f>B80/B79/1000000</f>
        <v>0.26590255767451954</v>
      </c>
      <c r="C82">
        <f>C80/C79/1000000</f>
        <v>0.19969358137600945</v>
      </c>
      <c r="D82">
        <f>D80/D79/1000000</f>
        <v>0.18361317679070679</v>
      </c>
      <c r="E82">
        <f t="shared" ref="E82:O82" si="9">E80/E79/1000000</f>
        <v>0.1787605992380859</v>
      </c>
      <c r="F82">
        <f t="shared" si="9"/>
        <v>0.17722956734477333</v>
      </c>
      <c r="G82">
        <f t="shared" si="9"/>
        <v>0.1767381959494658</v>
      </c>
    </row>
    <row r="83" spans="1:7" x14ac:dyDescent="0.2">
      <c r="A83" s="8" t="s">
        <v>47</v>
      </c>
      <c r="B83">
        <f>MATCH(B82, $A$37:$A$48, 1)</f>
        <v>7</v>
      </c>
      <c r="C83">
        <f>MATCH(C82, $A$37:$A$48, 1)</f>
        <v>6</v>
      </c>
      <c r="D83">
        <f>MATCH(D82, $A$37:$A$48, 1)</f>
        <v>5</v>
      </c>
      <c r="E83">
        <f t="shared" ref="E83:O83" si="10">MATCH(E82, $A$37:$A$48, 1)</f>
        <v>5</v>
      </c>
      <c r="F83">
        <f t="shared" si="10"/>
        <v>5</v>
      </c>
      <c r="G83">
        <f t="shared" si="10"/>
        <v>5</v>
      </c>
    </row>
    <row r="84" spans="1:7" x14ac:dyDescent="0.2">
      <c r="A84" s="8" t="s">
        <v>42</v>
      </c>
      <c r="B84" cm="1">
        <f t="array" ref="B84">IF(B81=1, INDEX($F$38:$F$48, B83), INDEX($N$38:$N$48, B83))</f>
        <v>787.49999999999955</v>
      </c>
      <c r="C84" cm="1">
        <f t="array" ref="C84">IF(C81=1, INDEX($F$38:$F$48, C83), INDEX($N$38:$N$48, C83))</f>
        <v>704.91803278688519</v>
      </c>
      <c r="D84" cm="1">
        <f t="array" ref="D84">IF(D81=1, INDEX($F$38:$F$48, D83), INDEX($N$38:$N$48, D83))</f>
        <v>652.17391304347814</v>
      </c>
      <c r="E84" cm="1">
        <f t="array" ref="E84">IF(E81=1, INDEX($F$38:$F$48, E83), INDEX($N$38:$N$48, E83))</f>
        <v>652.17391304347814</v>
      </c>
      <c r="F84" cm="1">
        <f t="array" ref="F84">IF(F81=1, INDEX($F$38:$F$48, F83), INDEX($N$38:$N$48, F83))</f>
        <v>652.17391304347814</v>
      </c>
      <c r="G84" cm="1">
        <f t="array" ref="G84">IF(G81=1, INDEX($F$38:$F$48, G83), INDEX($N$38:$N$48, G83))</f>
        <v>652.17391304347814</v>
      </c>
    </row>
    <row r="85" spans="1:7" x14ac:dyDescent="0.2">
      <c r="A85" s="8" t="s">
        <v>43</v>
      </c>
      <c r="B85" cm="1">
        <f t="array" ref="B85">IF(B81=1, INDEX($G$38:$G$48, B83), INDEX($O$38:$O$48, B83))</f>
        <v>714.40000000000009</v>
      </c>
      <c r="C85" cm="1">
        <f t="array" ref="C85">IF(C81=1, INDEX($G$38:$G$48, C83), INDEX($O$38:$O$48, C83))</f>
        <v>735.54098360655735</v>
      </c>
      <c r="D85" cm="1">
        <f t="array" ref="D85">IF(D81=1, INDEX($G$38:$G$48, D83), INDEX($O$38:$O$48, D83))</f>
        <v>745.82608695652175</v>
      </c>
      <c r="E85" cm="1">
        <f t="array" ref="E85">IF(E81=1, INDEX($G$38:$G$48, E83), INDEX($O$38:$O$48, E83))</f>
        <v>745.82608695652175</v>
      </c>
      <c r="F85" cm="1">
        <f t="array" ref="F85">IF(F81=1, INDEX($G$38:$G$48, F83), INDEX($O$38:$O$48, F83))</f>
        <v>745.82608695652175</v>
      </c>
      <c r="G85" cm="1">
        <f t="array" ref="G85">IF(G81=1, INDEX($G$38:$G$48, G83), INDEX($O$38:$O$48, G83))</f>
        <v>745.82608695652175</v>
      </c>
    </row>
    <row r="86" spans="1:7" x14ac:dyDescent="0.2">
      <c r="A86" s="8" t="s">
        <v>62</v>
      </c>
      <c r="B86">
        <f>INDEX(J$53:J$71, MATCH(B80, B$53:B$71, 0))</f>
        <v>1.0100331516719059</v>
      </c>
      <c r="C86">
        <f>B86</f>
        <v>1.0100331516719059</v>
      </c>
      <c r="D86">
        <f>C86</f>
        <v>1.0100331516719059</v>
      </c>
      <c r="E86">
        <f t="shared" ref="E86:O86" si="11">D86</f>
        <v>1.0100331516719059</v>
      </c>
      <c r="F86">
        <f t="shared" si="11"/>
        <v>1.0100331516719059</v>
      </c>
      <c r="G86">
        <f t="shared" si="11"/>
        <v>1.0100331516719059</v>
      </c>
    </row>
    <row r="87" spans="1:7" x14ac:dyDescent="0.2">
      <c r="A87" s="8" t="s">
        <v>37</v>
      </c>
      <c r="B87">
        <f>(B84*B82+B85)*B86</f>
        <v>933.06687226733186</v>
      </c>
      <c r="C87">
        <f>(C84*C82+C85)*C86</f>
        <v>885.10072714667365</v>
      </c>
      <c r="D87">
        <f>(D84*D82+D85)*D86</f>
        <v>874.25824427895645</v>
      </c>
      <c r="E87">
        <f t="shared" ref="E87:O87" si="12">(E84*E82+E85)*E86</f>
        <v>871.06176762730036</v>
      </c>
      <c r="F87">
        <f t="shared" si="12"/>
        <v>870.0532504739225</v>
      </c>
      <c r="G87">
        <f t="shared" si="12"/>
        <v>869.7295756484591</v>
      </c>
    </row>
    <row r="88" spans="1:7" x14ac:dyDescent="0.2">
      <c r="A88" s="9" t="s">
        <v>39</v>
      </c>
      <c r="B88" s="9">
        <v>2</v>
      </c>
      <c r="C88">
        <f>B88</f>
        <v>2</v>
      </c>
      <c r="D88">
        <f>C88</f>
        <v>2</v>
      </c>
      <c r="E88">
        <f t="shared" ref="E88:O88" si="13">D88</f>
        <v>2</v>
      </c>
      <c r="F88">
        <f t="shared" si="13"/>
        <v>2</v>
      </c>
      <c r="G88">
        <f t="shared" si="13"/>
        <v>2</v>
      </c>
    </row>
    <row r="89" spans="1:7" x14ac:dyDescent="0.2">
      <c r="A89" s="9" t="s">
        <v>45</v>
      </c>
      <c r="B89">
        <f>COUNTIF(D53:D71, B88)</f>
        <v>6</v>
      </c>
      <c r="C89">
        <f>B89</f>
        <v>6</v>
      </c>
      <c r="D89">
        <f>C89</f>
        <v>6</v>
      </c>
      <c r="E89">
        <f t="shared" ref="E89:O89" si="14">D89</f>
        <v>6</v>
      </c>
      <c r="F89">
        <f t="shared" si="14"/>
        <v>6</v>
      </c>
      <c r="G89">
        <f t="shared" si="14"/>
        <v>6</v>
      </c>
    </row>
    <row r="90" spans="1:7" x14ac:dyDescent="0.2">
      <c r="A90" t="s">
        <v>35</v>
      </c>
      <c r="B90" s="11">
        <f>B$31</f>
        <v>20.158660900505968</v>
      </c>
      <c r="C90">
        <f>B90*B113</f>
        <v>17.362072607673671</v>
      </c>
      <c r="D90">
        <f>C90*C113</f>
        <v>16.19683529721506</v>
      </c>
      <c r="E90">
        <f t="shared" ref="E90:O90" si="15">D90*D113</f>
        <v>15.76068593443679</v>
      </c>
      <c r="F90">
        <f t="shared" si="15"/>
        <v>15.605986171580923</v>
      </c>
      <c r="G90">
        <f t="shared" si="15"/>
        <v>15.553833916190634</v>
      </c>
    </row>
    <row r="91" spans="1:7" x14ac:dyDescent="0.2">
      <c r="A91" t="s">
        <v>48</v>
      </c>
      <c r="B91" s="8">
        <f>_xlfn.MAXIFS($B$53:$B$71, $D$53:$D$71, B88)</f>
        <v>3351880.40539975</v>
      </c>
      <c r="C91">
        <f>B91</f>
        <v>3351880.40539975</v>
      </c>
      <c r="D91">
        <f>C91</f>
        <v>3351880.40539975</v>
      </c>
      <c r="E91">
        <f t="shared" ref="E91:O91" si="16">D91</f>
        <v>3351880.40539975</v>
      </c>
      <c r="F91">
        <f t="shared" si="16"/>
        <v>3351880.40539975</v>
      </c>
      <c r="G91">
        <f t="shared" si="16"/>
        <v>3351880.40539975</v>
      </c>
    </row>
    <row r="92" spans="1:7" x14ac:dyDescent="0.2">
      <c r="A92" t="s">
        <v>40</v>
      </c>
      <c r="B92">
        <f>INDEX($E$53:$E$71,MATCH(B91,$B$53:$B$71,0))</f>
        <v>2</v>
      </c>
      <c r="C92">
        <f>B92</f>
        <v>2</v>
      </c>
      <c r="D92">
        <f>C92</f>
        <v>2</v>
      </c>
      <c r="E92">
        <f t="shared" ref="E92:O92" si="17">D92</f>
        <v>2</v>
      </c>
      <c r="F92">
        <f t="shared" si="17"/>
        <v>2</v>
      </c>
      <c r="G92">
        <f t="shared" si="17"/>
        <v>2</v>
      </c>
    </row>
    <row r="93" spans="1:7" x14ac:dyDescent="0.2">
      <c r="A93" s="8" t="s">
        <v>46</v>
      </c>
      <c r="B93">
        <f>B91/B90/1000000</f>
        <v>0.16627495357668426</v>
      </c>
      <c r="C93">
        <f>C91/C90/1000000</f>
        <v>0.19305761939494995</v>
      </c>
      <c r="D93">
        <f>D91/D90/1000000</f>
        <v>0.20694662530624633</v>
      </c>
      <c r="E93">
        <f t="shared" ref="E93:O93" si="18">E91/E90/1000000</f>
        <v>0.21267351048953759</v>
      </c>
      <c r="F93">
        <f t="shared" si="18"/>
        <v>0.21478171059151954</v>
      </c>
      <c r="G93">
        <f t="shared" si="18"/>
        <v>0.21550187712308269</v>
      </c>
    </row>
    <row r="94" spans="1:7" x14ac:dyDescent="0.2">
      <c r="A94" s="8" t="s">
        <v>47</v>
      </c>
      <c r="B94">
        <f>MATCH(B93, $A$37:$A$48, 1)</f>
        <v>5</v>
      </c>
      <c r="C94">
        <f>MATCH(C93, $A$37:$A$48, 1)</f>
        <v>5</v>
      </c>
      <c r="D94">
        <f>MATCH(D93, $A$37:$A$48, 1)</f>
        <v>6</v>
      </c>
      <c r="E94">
        <f t="shared" ref="E94:O94" si="19">MATCH(E93, $A$37:$A$48, 1)</f>
        <v>6</v>
      </c>
      <c r="F94">
        <f t="shared" si="19"/>
        <v>6</v>
      </c>
      <c r="G94">
        <f t="shared" si="19"/>
        <v>6</v>
      </c>
    </row>
    <row r="95" spans="1:7" x14ac:dyDescent="0.2">
      <c r="A95" s="8" t="s">
        <v>42</v>
      </c>
      <c r="B95" cm="1">
        <f t="array" ref="B95">IF(B92=1, INDEX($F$38:$F$48, B94), INDEX($N$38:$N$48, B94))</f>
        <v>907.50802668767403</v>
      </c>
      <c r="C95" cm="1">
        <f t="array" ref="C95">IF(C92=1, INDEX($F$38:$F$48, C94), INDEX($N$38:$N$48, C94))</f>
        <v>907.50802668767403</v>
      </c>
      <c r="D95" cm="1">
        <f t="array" ref="D95">IF(D92=1, INDEX($F$38:$F$48, D94), INDEX($N$38:$N$48, D94))</f>
        <v>961.02600817147493</v>
      </c>
      <c r="E95" cm="1">
        <f t="array" ref="E95">IF(E92=1, INDEX($F$38:$F$48, E94), INDEX($N$38:$N$48, E94))</f>
        <v>961.02600817147493</v>
      </c>
      <c r="F95" cm="1">
        <f t="array" ref="F95">IF(F92=1, INDEX($F$38:$F$48, F94), INDEX($N$38:$N$48, F94))</f>
        <v>961.02600817147493</v>
      </c>
      <c r="G95" cm="1">
        <f t="array" ref="G95">IF(G92=1, INDEX($F$38:$F$48, G94), INDEX($N$38:$N$48, G94))</f>
        <v>961.02600817147493</v>
      </c>
    </row>
    <row r="96" spans="1:7" x14ac:dyDescent="0.2">
      <c r="A96" s="8" t="s">
        <v>43</v>
      </c>
      <c r="B96" cm="1">
        <f t="array" ref="B96">IF(B92=1, INDEX($G$38:$G$48, B94), INDEX($O$38:$O$48, B94))</f>
        <v>675.1892387914279</v>
      </c>
      <c r="C96" cm="1">
        <f t="array" ref="C96">IF(C92=1, INDEX($G$38:$G$48, C94), INDEX($O$38:$O$48, C94))</f>
        <v>675.1892387914279</v>
      </c>
      <c r="D96" cm="1">
        <f t="array" ref="D96">IF(D92=1, INDEX($G$38:$G$48, D94), INDEX($O$38:$O$48, D94))</f>
        <v>664.74571645228798</v>
      </c>
      <c r="E96" cm="1">
        <f t="array" ref="E96">IF(E92=1, INDEX($G$38:$G$48, E94), INDEX($O$38:$O$48, E94))</f>
        <v>664.74571645228798</v>
      </c>
      <c r="F96" cm="1">
        <f t="array" ref="F96">IF(F92=1, INDEX($G$38:$G$48, F94), INDEX($O$38:$O$48, F94))</f>
        <v>664.74571645228798</v>
      </c>
      <c r="G96" cm="1">
        <f t="array" ref="G96">IF(G92=1, INDEX($G$38:$G$48, G94), INDEX($O$38:$O$48, G94))</f>
        <v>664.74571645228798</v>
      </c>
    </row>
    <row r="97" spans="1:7" x14ac:dyDescent="0.2">
      <c r="A97" s="8" t="s">
        <v>62</v>
      </c>
      <c r="B97">
        <f>INDEX(J$53:J$71, MATCH(B91, B$53:B$71, 0))</f>
        <v>0.99700325387808175</v>
      </c>
      <c r="C97">
        <f>B97</f>
        <v>0.99700325387808175</v>
      </c>
      <c r="D97">
        <f>C97</f>
        <v>0.99700325387808175</v>
      </c>
      <c r="E97">
        <f t="shared" ref="E97:O97" si="20">D97</f>
        <v>0.99700325387808175</v>
      </c>
      <c r="F97">
        <f t="shared" si="20"/>
        <v>0.99700325387808175</v>
      </c>
      <c r="G97">
        <f t="shared" si="20"/>
        <v>0.99700325387808175</v>
      </c>
    </row>
    <row r="98" spans="1:7" x14ac:dyDescent="0.2">
      <c r="A98" s="8" t="s">
        <v>37</v>
      </c>
      <c r="B98">
        <f>(B95*B93+B96)*B97</f>
        <v>823.60952649817148</v>
      </c>
      <c r="C98">
        <f>(C95*C93+C96)*C97</f>
        <v>847.84217333880497</v>
      </c>
      <c r="D98">
        <f>(D95*D93+D96)*D97</f>
        <v>861.03873539421693</v>
      </c>
      <c r="E98">
        <f t="shared" ref="E98:O98" si="21">(E95*E93+E96)*E97</f>
        <v>866.52592785267268</v>
      </c>
      <c r="F98">
        <f t="shared" si="21"/>
        <v>868.54589146819319</v>
      </c>
      <c r="G98">
        <f t="shared" si="21"/>
        <v>869.23591619094384</v>
      </c>
    </row>
    <row r="99" spans="1:7" x14ac:dyDescent="0.2">
      <c r="A99" s="9" t="s">
        <v>39</v>
      </c>
      <c r="B99" s="9">
        <v>3</v>
      </c>
      <c r="C99">
        <f>B99</f>
        <v>3</v>
      </c>
      <c r="D99">
        <f>C99</f>
        <v>3</v>
      </c>
      <c r="E99">
        <f t="shared" ref="E99:O99" si="22">D99</f>
        <v>3</v>
      </c>
      <c r="F99">
        <f t="shared" si="22"/>
        <v>3</v>
      </c>
      <c r="G99">
        <f t="shared" si="22"/>
        <v>3</v>
      </c>
    </row>
    <row r="100" spans="1:7" x14ac:dyDescent="0.2">
      <c r="A100" s="9" t="s">
        <v>45</v>
      </c>
      <c r="B100">
        <f>COUNTIF(D53:D71, B99)</f>
        <v>6</v>
      </c>
      <c r="C100">
        <f>B100</f>
        <v>6</v>
      </c>
      <c r="D100">
        <f>C100</f>
        <v>6</v>
      </c>
      <c r="E100">
        <f t="shared" ref="E100:O100" si="23">D100</f>
        <v>6</v>
      </c>
      <c r="F100">
        <f t="shared" si="23"/>
        <v>6</v>
      </c>
      <c r="G100">
        <f t="shared" si="23"/>
        <v>6</v>
      </c>
    </row>
    <row r="101" spans="1:7" x14ac:dyDescent="0.2">
      <c r="A101" t="s">
        <v>35</v>
      </c>
      <c r="B101" s="11">
        <f>B$31</f>
        <v>20.158660900505968</v>
      </c>
      <c r="C101">
        <f>B101*B114</f>
        <v>15.157644109237566</v>
      </c>
      <c r="D101">
        <f>C101*C114</f>
        <v>13.580296998151683</v>
      </c>
      <c r="E101">
        <f t="shared" ref="E101:O101" si="24">D101*D114</f>
        <v>13.09190185481758</v>
      </c>
      <c r="F101">
        <f t="shared" si="24"/>
        <v>12.944392723024606</v>
      </c>
      <c r="G101">
        <f t="shared" si="24"/>
        <v>12.898443791979981</v>
      </c>
    </row>
    <row r="102" spans="1:7" x14ac:dyDescent="0.2">
      <c r="A102" t="s">
        <v>48</v>
      </c>
      <c r="B102" s="8">
        <f>_xlfn.MAXIFS($B$53:$B$71, $D$53:$D$71, B99)</f>
        <v>2791240.4248382901</v>
      </c>
      <c r="C102">
        <f>B102</f>
        <v>2791240.4248382901</v>
      </c>
      <c r="D102">
        <f>C102</f>
        <v>2791240.4248382901</v>
      </c>
      <c r="E102">
        <f t="shared" ref="E102:O102" si="25">D102</f>
        <v>2791240.4248382901</v>
      </c>
      <c r="F102">
        <f t="shared" si="25"/>
        <v>2791240.4248382901</v>
      </c>
      <c r="G102">
        <f t="shared" si="25"/>
        <v>2791240.4248382901</v>
      </c>
    </row>
    <row r="103" spans="1:7" x14ac:dyDescent="0.2">
      <c r="A103" t="s">
        <v>40</v>
      </c>
      <c r="B103">
        <f>INDEX($E$53:$E$71,MATCH(B102,$B$53:$B$71,0))</f>
        <v>2</v>
      </c>
      <c r="C103">
        <f>B103</f>
        <v>2</v>
      </c>
      <c r="D103">
        <f>C103</f>
        <v>2</v>
      </c>
      <c r="E103">
        <f t="shared" ref="E103:O103" si="26">D103</f>
        <v>2</v>
      </c>
      <c r="F103">
        <f t="shared" si="26"/>
        <v>2</v>
      </c>
      <c r="G103">
        <f t="shared" si="26"/>
        <v>2</v>
      </c>
    </row>
    <row r="104" spans="1:7" x14ac:dyDescent="0.2">
      <c r="A104" s="8" t="s">
        <v>46</v>
      </c>
      <c r="B104">
        <f>B102/B101/1000000</f>
        <v>0.13846358340043469</v>
      </c>
      <c r="C104">
        <f>C102/C101/1000000</f>
        <v>0.18414737836054723</v>
      </c>
      <c r="D104">
        <f>D102/D101/1000000</f>
        <v>0.20553603689361036</v>
      </c>
      <c r="E104">
        <f t="shared" ref="E104:O104" si="27">E102/E101/1000000</f>
        <v>0.21320358613986742</v>
      </c>
      <c r="F104">
        <f t="shared" si="27"/>
        <v>0.21563316909208274</v>
      </c>
      <c r="G104">
        <f t="shared" si="27"/>
        <v>0.21640133258353486</v>
      </c>
    </row>
    <row r="105" spans="1:7" x14ac:dyDescent="0.2">
      <c r="A105" s="8" t="s">
        <v>47</v>
      </c>
      <c r="B105">
        <f>MATCH(B104, $A$37:$A$48, 1)</f>
        <v>4</v>
      </c>
      <c r="C105">
        <f>MATCH(C104, $A$37:$A$48, 1)</f>
        <v>5</v>
      </c>
      <c r="D105">
        <f>MATCH(D104, $A$37:$A$48, 1)</f>
        <v>6</v>
      </c>
      <c r="E105">
        <f t="shared" ref="E105:O105" si="28">MATCH(E104, $A$37:$A$48, 1)</f>
        <v>6</v>
      </c>
      <c r="F105">
        <f t="shared" si="28"/>
        <v>6</v>
      </c>
      <c r="G105">
        <f t="shared" si="28"/>
        <v>6</v>
      </c>
    </row>
    <row r="106" spans="1:7" x14ac:dyDescent="0.2">
      <c r="A106" s="8" t="s">
        <v>42</v>
      </c>
      <c r="B106" cm="1">
        <f t="array" ref="B106">IF(B103=1, INDEX($F$38:$F$48, B105), INDEX($N$38:$N$48, B105))</f>
        <v>857.30651083646865</v>
      </c>
      <c r="C106" cm="1">
        <f t="array" ref="C106">IF(C103=1, INDEX($F$38:$F$48, C105), INDEX($N$38:$N$48, C105))</f>
        <v>907.50802668767403</v>
      </c>
      <c r="D106" cm="1">
        <f t="array" ref="D106">IF(D103=1, INDEX($F$38:$F$48, D105), INDEX($N$38:$N$48, D105))</f>
        <v>961.02600817147493</v>
      </c>
      <c r="E106" cm="1">
        <f t="array" ref="E106">IF(E103=1, INDEX($F$38:$F$48, E105), INDEX($N$38:$N$48, E105))</f>
        <v>961.02600817147493</v>
      </c>
      <c r="F106" cm="1">
        <f t="array" ref="F106">IF(F103=1, INDEX($F$38:$F$48, F105), INDEX($N$38:$N$48, F105))</f>
        <v>961.02600817147493</v>
      </c>
      <c r="G106" cm="1">
        <f t="array" ref="G106">IF(G103=1, INDEX($F$38:$F$48, G105), INDEX($N$38:$N$48, G105))</f>
        <v>961.02600817147493</v>
      </c>
    </row>
    <row r="107" spans="1:7" x14ac:dyDescent="0.2">
      <c r="A107" s="8" t="s">
        <v>43</v>
      </c>
      <c r="B107" cm="1">
        <f t="array" ref="B107">IF(B103=1, INDEX($G$38:$G$48, B105), INDEX($O$38:$O$48, B105))</f>
        <v>682.6500946897288</v>
      </c>
      <c r="C107" cm="1">
        <f t="array" ref="C107">IF(C103=1, INDEX($G$38:$G$48, C105), INDEX($O$38:$O$48, C105))</f>
        <v>675.1892387914279</v>
      </c>
      <c r="D107" cm="1">
        <f t="array" ref="D107">IF(D103=1, INDEX($G$38:$G$48, D105), INDEX($O$38:$O$48, D105))</f>
        <v>664.74571645228798</v>
      </c>
      <c r="E107" cm="1">
        <f t="array" ref="E107">IF(E103=1, INDEX($G$38:$G$48, E105), INDEX($O$38:$O$48, E105))</f>
        <v>664.74571645228798</v>
      </c>
      <c r="F107" cm="1">
        <f t="array" ref="F107">IF(F103=1, INDEX($G$38:$G$48, F105), INDEX($O$38:$O$48, F105))</f>
        <v>664.74571645228798</v>
      </c>
      <c r="G107" cm="1">
        <f t="array" ref="G107">IF(G103=1, INDEX($G$38:$G$48, G105), INDEX($O$38:$O$48, G105))</f>
        <v>664.74571645228798</v>
      </c>
    </row>
    <row r="108" spans="1:7" x14ac:dyDescent="0.2">
      <c r="A108" s="8" t="s">
        <v>62</v>
      </c>
      <c r="B108">
        <f>INDEX(J$53:J$71, MATCH(B102, B$53:B$71, 0))</f>
        <v>0.9960089453636608</v>
      </c>
      <c r="C108">
        <f>B108</f>
        <v>0.9960089453636608</v>
      </c>
      <c r="D108">
        <f>C108</f>
        <v>0.9960089453636608</v>
      </c>
      <c r="E108">
        <f t="shared" ref="E108:O108" si="29">D108</f>
        <v>0.9960089453636608</v>
      </c>
      <c r="F108">
        <f t="shared" si="29"/>
        <v>0.9960089453636608</v>
      </c>
      <c r="G108">
        <f t="shared" si="29"/>
        <v>0.9960089453636608</v>
      </c>
    </row>
    <row r="109" spans="1:7" x14ac:dyDescent="0.2">
      <c r="A109" s="8" t="s">
        <v>37</v>
      </c>
      <c r="B109">
        <f>(B106*B104+B107)*B108</f>
        <v>798.15757136694674</v>
      </c>
      <c r="C109">
        <f>(C106*C104+C107)*C108</f>
        <v>838.94277961586045</v>
      </c>
      <c r="D109">
        <f>(D106*D104+D107)*D108</f>
        <v>858.8298220788455</v>
      </c>
      <c r="E109">
        <f t="shared" ref="E109:O109" si="30">(E106*E104+E107)*E108</f>
        <v>866.16912738228439</v>
      </c>
      <c r="F109">
        <f t="shared" si="30"/>
        <v>868.49470110521077</v>
      </c>
      <c r="G109">
        <f t="shared" si="30"/>
        <v>869.22997990234057</v>
      </c>
    </row>
    <row r="111" spans="1:7" x14ac:dyDescent="0.2">
      <c r="A111" t="s">
        <v>49</v>
      </c>
      <c r="B111">
        <f>(B109*B101*B100+B98*B90*B89+B87*B79*B78)/(B101*B100+B90*B89+B79*B78)</f>
        <v>855.89845752958058</v>
      </c>
      <c r="C111">
        <f>(C109*C101*C100+C98*C90*C89+C87*C79*C78)/(C101*C100+C90*C89+C79*C78)</f>
        <v>864.00704128602843</v>
      </c>
      <c r="D111">
        <f>(D109*D101*D100+D98*D90*D89+D87*D79*D78)/(D101*D100+D90*D89+D79*D78)</f>
        <v>867.62188924842917</v>
      </c>
      <c r="E111">
        <f t="shared" ref="E111:O111" si="31">(E109*E101*E100+E98*E90*E89+E87*E79*E78)/(E101*E100+E90*E89+E79*E78)</f>
        <v>868.93847633949611</v>
      </c>
      <c r="F111">
        <f t="shared" si="31"/>
        <v>869.36870784083396</v>
      </c>
      <c r="G111">
        <f t="shared" si="31"/>
        <v>869.50834690504098</v>
      </c>
    </row>
    <row r="112" spans="1:7" x14ac:dyDescent="0.2">
      <c r="A112" t="s">
        <v>15</v>
      </c>
      <c r="B112">
        <f>(B87-623.15)/(B111-623.15)</f>
        <v>1.3315528513349815</v>
      </c>
      <c r="C112">
        <f>(C87-623.15)/(C111-623.15)</f>
        <v>1.0875776176109193</v>
      </c>
      <c r="D112">
        <f>(D87-623.15)/(D111-623.15)</f>
        <v>1.0271456773657257</v>
      </c>
      <c r="E112">
        <f t="shared" ref="E112:O112" si="32">(E87-623.15)/(E111-623.15)</f>
        <v>1.0086386933977793</v>
      </c>
      <c r="F112">
        <f t="shared" si="32"/>
        <v>1.0027802218567854</v>
      </c>
      <c r="G112">
        <f t="shared" si="32"/>
        <v>1.0008979957293811</v>
      </c>
    </row>
    <row r="113" spans="1:7" x14ac:dyDescent="0.2">
      <c r="A113" t="s">
        <v>16</v>
      </c>
      <c r="B113">
        <f>(B98-623.15)/(B111-623.15)</f>
        <v>0.86127112774826697</v>
      </c>
      <c r="C113">
        <f>(C98-623.15)/(C111-623.15)</f>
        <v>0.93288604783604001</v>
      </c>
      <c r="D113">
        <f>(D98-623.15)/(D111-623.15)</f>
        <v>0.97307193937736325</v>
      </c>
      <c r="E113">
        <f t="shared" ref="E113:O113" si="33">(E98-623.15)/(E111-623.15)</f>
        <v>0.99018445240902553</v>
      </c>
      <c r="F113">
        <f t="shared" si="33"/>
        <v>0.9966581890553472</v>
      </c>
      <c r="G113">
        <f t="shared" si="33"/>
        <v>0.99889416893107275</v>
      </c>
    </row>
    <row r="114" spans="1:7" x14ac:dyDescent="0.2">
      <c r="A114" t="s">
        <v>17</v>
      </c>
      <c r="B114">
        <f>(B109-623.15)/(B111-623.15)</f>
        <v>0.75191721236092224</v>
      </c>
      <c r="C114">
        <f>(C109-623.15)/(C111-623.15)</f>
        <v>0.89593718524341148</v>
      </c>
      <c r="D114">
        <f>(D109-623.15)/(D111-623.15)</f>
        <v>0.96403649026228411</v>
      </c>
      <c r="E114">
        <f t="shared" ref="E114:O114" si="34">(E109-623.15)/(E111-623.15)</f>
        <v>0.98873279578255513</v>
      </c>
      <c r="F114">
        <f t="shared" si="34"/>
        <v>0.99645028298910499</v>
      </c>
      <c r="G114">
        <f t="shared" si="34"/>
        <v>0.99887007277732831</v>
      </c>
    </row>
    <row r="116" spans="1:7" x14ac:dyDescent="0.2">
      <c r="A116" t="s">
        <v>51</v>
      </c>
      <c r="B116">
        <f>SQRT((B87-B111)^2+(B98-B111)^2+(B109-B111)^2)</f>
        <v>101.64422873500946</v>
      </c>
      <c r="C116">
        <f>SQRT((C87-C111)^2+(C98-C111)^2+(C109-C111)^2)</f>
        <v>36.530312782802831</v>
      </c>
      <c r="D116">
        <f>SQRT((D87-D111)^2+(D98-D111)^2+(D109-D111)^2)</f>
        <v>12.83275371359964</v>
      </c>
      <c r="E116">
        <f t="shared" ref="E116:O116" si="35">SQRT((E87-E111)^2+(E98-E111)^2+(E109-E111)^2)</f>
        <v>4.2424108406599501</v>
      </c>
      <c r="F116">
        <f t="shared" si="35"/>
        <v>1.3818513572436903</v>
      </c>
      <c r="G116">
        <f t="shared" si="35"/>
        <v>0.44793843225408542</v>
      </c>
    </row>
    <row r="117" spans="1:7" x14ac:dyDescent="0.2">
      <c r="A117" t="s">
        <v>52</v>
      </c>
      <c r="B117">
        <f>IF(B116&lt;1, 1, 0)</f>
        <v>0</v>
      </c>
      <c r="C117">
        <f>IF(C116&lt;1, 1, 0)</f>
        <v>0</v>
      </c>
      <c r="D117">
        <f>IF(D116&lt;1, 1, 0)</f>
        <v>0</v>
      </c>
      <c r="E117">
        <f t="shared" ref="E117:O117" si="36">IF(E116&lt;1, 1, 0)</f>
        <v>0</v>
      </c>
      <c r="F117">
        <f t="shared" si="36"/>
        <v>0</v>
      </c>
      <c r="G117">
        <f t="shared" si="36"/>
        <v>1</v>
      </c>
    </row>
  </sheetData>
  <sortState xmlns:xlrd2="http://schemas.microsoft.com/office/spreadsheetml/2017/richdata2" ref="A53:E71">
    <sortCondition ref="A53:A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E111-94F8-664F-8FDD-52DC2691C30F}">
  <dimension ref="A1:O117"/>
  <sheetViews>
    <sheetView tabSelected="1" workbookViewId="0">
      <selection activeCell="F8" sqref="F8"/>
    </sheetView>
  </sheetViews>
  <sheetFormatPr baseColWidth="10" defaultRowHeight="16" x14ac:dyDescent="0.2"/>
  <sheetData>
    <row r="1" spans="1:12" x14ac:dyDescent="0.2">
      <c r="A1" t="s">
        <v>56</v>
      </c>
    </row>
    <row r="2" spans="1:12" x14ac:dyDescent="0.2">
      <c r="A2" t="s">
        <v>0</v>
      </c>
      <c r="B2" t="s">
        <v>53</v>
      </c>
      <c r="C2" t="s">
        <v>35</v>
      </c>
      <c r="D2" t="s">
        <v>54</v>
      </c>
      <c r="E2" t="s">
        <v>55</v>
      </c>
      <c r="F2" t="s">
        <v>39</v>
      </c>
      <c r="H2" t="s">
        <v>39</v>
      </c>
      <c r="I2" t="s">
        <v>5</v>
      </c>
    </row>
    <row r="3" spans="1:12" x14ac:dyDescent="0.2">
      <c r="A3" s="6">
        <v>0</v>
      </c>
      <c r="B3" s="6">
        <v>5360239.4927378697</v>
      </c>
      <c r="C3" s="6">
        <v>30.361467279657699</v>
      </c>
      <c r="D3" s="6">
        <v>765.52439422510804</v>
      </c>
      <c r="E3" s="4">
        <v>869.88700796499904</v>
      </c>
      <c r="F3">
        <v>1</v>
      </c>
      <c r="H3" s="6">
        <v>1</v>
      </c>
      <c r="I3">
        <f>_xlfn.MAXIFS(E$3:E$21, F$3:F$21, H3)</f>
        <v>869.88700796499904</v>
      </c>
    </row>
    <row r="4" spans="1:12" x14ac:dyDescent="0.2">
      <c r="A4" s="6">
        <v>1</v>
      </c>
      <c r="B4" s="6">
        <v>4831726.2127321502</v>
      </c>
      <c r="C4" s="6">
        <v>30.361467279657699</v>
      </c>
      <c r="D4" s="6">
        <v>754.56837809011301</v>
      </c>
      <c r="E4" s="4">
        <v>861.51382629031798</v>
      </c>
      <c r="F4">
        <v>1</v>
      </c>
      <c r="H4" s="6">
        <v>2</v>
      </c>
      <c r="I4">
        <f t="shared" ref="I4:I5" si="0">_xlfn.MAXIFS(E$3:E$21, F$3:F$21, H4)</f>
        <v>869.88710672140405</v>
      </c>
    </row>
    <row r="5" spans="1:12" x14ac:dyDescent="0.2">
      <c r="A5" s="6">
        <v>2</v>
      </c>
      <c r="B5" s="6">
        <v>4831727.1010322999</v>
      </c>
      <c r="C5" s="6">
        <v>30.361467279657699</v>
      </c>
      <c r="D5" s="6">
        <v>754.44980154187601</v>
      </c>
      <c r="E5" s="4">
        <v>861.42715757609506</v>
      </c>
      <c r="F5">
        <v>1</v>
      </c>
      <c r="H5" s="6">
        <v>3</v>
      </c>
      <c r="I5">
        <f t="shared" si="0"/>
        <v>869.52550681839705</v>
      </c>
    </row>
    <row r="6" spans="1:12" x14ac:dyDescent="0.2">
      <c r="A6" s="6">
        <v>3</v>
      </c>
      <c r="B6" s="6">
        <v>4831726.2127342699</v>
      </c>
      <c r="C6" s="6">
        <v>30.361467279657699</v>
      </c>
      <c r="D6" s="6">
        <v>754.44839111407896</v>
      </c>
      <c r="E6" s="4">
        <v>861.42658001648101</v>
      </c>
      <c r="F6">
        <v>1</v>
      </c>
    </row>
    <row r="7" spans="1:12" x14ac:dyDescent="0.2">
      <c r="A7" s="6">
        <v>4</v>
      </c>
      <c r="B7" s="6">
        <v>4831727.1010305202</v>
      </c>
      <c r="C7" s="6">
        <v>30.361467279657699</v>
      </c>
      <c r="D7" s="6">
        <v>754.44840007231096</v>
      </c>
      <c r="E7" s="4">
        <v>861.42667853325304</v>
      </c>
      <c r="F7">
        <v>1</v>
      </c>
      <c r="H7" t="s">
        <v>68</v>
      </c>
      <c r="I7">
        <f>MAX(I3:I5)</f>
        <v>869.88710672140405</v>
      </c>
    </row>
    <row r="8" spans="1:12" x14ac:dyDescent="0.2">
      <c r="A8" s="6">
        <v>5</v>
      </c>
      <c r="B8" s="6">
        <v>4831726.2127342699</v>
      </c>
      <c r="C8" s="6">
        <v>30.361467279657699</v>
      </c>
      <c r="D8" s="6">
        <v>754.44838240655997</v>
      </c>
      <c r="E8" s="4">
        <v>861.42657770509697</v>
      </c>
      <c r="F8">
        <v>1</v>
      </c>
      <c r="H8" t="s">
        <v>67</v>
      </c>
      <c r="I8">
        <f>AVERAGE(I3:I5)</f>
        <v>869.76654050160005</v>
      </c>
    </row>
    <row r="9" spans="1:12" x14ac:dyDescent="0.2">
      <c r="A9" s="6">
        <v>6</v>
      </c>
      <c r="B9" s="6">
        <v>4831727.1010322999</v>
      </c>
      <c r="C9" s="6">
        <v>30.361467279657699</v>
      </c>
      <c r="D9" s="6">
        <v>754.44894980252502</v>
      </c>
      <c r="E9" s="4">
        <v>861.42667958073605</v>
      </c>
      <c r="F9">
        <v>1</v>
      </c>
      <c r="H9" t="s">
        <v>64</v>
      </c>
      <c r="I9">
        <f>I7-I8</f>
        <v>0.1205662198040045</v>
      </c>
    </row>
    <row r="10" spans="1:12" x14ac:dyDescent="0.2">
      <c r="A10" s="6">
        <v>7</v>
      </c>
      <c r="B10" s="6">
        <v>2791239.3612005999</v>
      </c>
      <c r="C10" s="6">
        <v>12.8483463254549</v>
      </c>
      <c r="D10" s="6">
        <v>794.14788220930495</v>
      </c>
      <c r="E10" s="4">
        <v>869.50831707063298</v>
      </c>
      <c r="F10">
        <v>3</v>
      </c>
      <c r="H10" t="s">
        <v>65</v>
      </c>
      <c r="I10">
        <f>I9/(I8-B32)</f>
        <v>4.8888131979623749E-4</v>
      </c>
    </row>
    <row r="11" spans="1:12" x14ac:dyDescent="0.2">
      <c r="A11" s="6">
        <v>8</v>
      </c>
      <c r="B11" s="6">
        <v>3351880.4053993998</v>
      </c>
      <c r="C11" s="6">
        <v>15.4484144056867</v>
      </c>
      <c r="D11" s="6">
        <v>794.83053033307601</v>
      </c>
      <c r="E11" s="4">
        <v>869.88688486583499</v>
      </c>
      <c r="F11">
        <v>2</v>
      </c>
      <c r="H11" t="s">
        <v>66</v>
      </c>
      <c r="I11" s="6">
        <v>2E-3</v>
      </c>
    </row>
    <row r="12" spans="1:12" x14ac:dyDescent="0.2">
      <c r="A12" s="6">
        <v>9</v>
      </c>
      <c r="B12" s="6">
        <v>2791240.4248382901</v>
      </c>
      <c r="C12" s="6">
        <v>12.8483463254549</v>
      </c>
      <c r="D12" s="6">
        <v>794.15831227707304</v>
      </c>
      <c r="E12" s="4">
        <v>869.52550675066004</v>
      </c>
      <c r="F12">
        <v>3</v>
      </c>
      <c r="H12" t="s">
        <v>63</v>
      </c>
      <c r="I12" s="12" t="str">
        <f>IF(I10&lt;I11, "yes", "no")</f>
        <v>yes</v>
      </c>
    </row>
    <row r="13" spans="1:12" x14ac:dyDescent="0.2">
      <c r="A13" s="6">
        <v>10</v>
      </c>
      <c r="B13" s="6">
        <v>3351880.40539975</v>
      </c>
      <c r="C13" s="6">
        <v>15.4484144056867</v>
      </c>
      <c r="D13" s="6">
        <v>794.82994450942999</v>
      </c>
      <c r="E13" s="4">
        <v>869.88704867552201</v>
      </c>
      <c r="F13">
        <v>2</v>
      </c>
    </row>
    <row r="14" spans="1:12" x14ac:dyDescent="0.2">
      <c r="A14" s="6">
        <v>11</v>
      </c>
      <c r="B14" s="6">
        <v>2791239.3612398002</v>
      </c>
      <c r="C14" s="6">
        <v>12.8483463254549</v>
      </c>
      <c r="D14" s="6">
        <v>794.158244016205</v>
      </c>
      <c r="E14" s="4">
        <v>869.52549763166098</v>
      </c>
      <c r="F14">
        <v>3</v>
      </c>
      <c r="L14" s="6"/>
    </row>
    <row r="15" spans="1:12" x14ac:dyDescent="0.2">
      <c r="A15" s="6">
        <v>12</v>
      </c>
      <c r="B15" s="6">
        <v>3351880.4053993998</v>
      </c>
      <c r="C15" s="6">
        <v>15.4484144056867</v>
      </c>
      <c r="D15" s="6">
        <v>794.82993966188894</v>
      </c>
      <c r="E15" s="4">
        <v>869.88704733727002</v>
      </c>
      <c r="F15">
        <v>2</v>
      </c>
      <c r="L15" s="6"/>
    </row>
    <row r="16" spans="1:12" x14ac:dyDescent="0.2">
      <c r="A16" s="6">
        <v>13</v>
      </c>
      <c r="B16" s="6">
        <v>2791240.4246378802</v>
      </c>
      <c r="C16" s="6">
        <v>12.8483463254549</v>
      </c>
      <c r="D16" s="6">
        <v>794.158302924086</v>
      </c>
      <c r="E16" s="4">
        <v>869.52550679624596</v>
      </c>
      <c r="F16">
        <v>3</v>
      </c>
      <c r="L16" s="6"/>
    </row>
    <row r="17" spans="1:12" x14ac:dyDescent="0.2">
      <c r="A17" s="6">
        <v>14</v>
      </c>
      <c r="B17" s="6">
        <v>3351880.4053993998</v>
      </c>
      <c r="C17" s="6">
        <v>15.4484144056867</v>
      </c>
      <c r="D17" s="6">
        <v>794.82993854964604</v>
      </c>
      <c r="E17" s="4">
        <v>869.88704856112997</v>
      </c>
      <c r="F17">
        <v>2</v>
      </c>
      <c r="L17" s="6"/>
    </row>
    <row r="18" spans="1:12" x14ac:dyDescent="0.2">
      <c r="A18" s="6">
        <v>15</v>
      </c>
      <c r="B18" s="6">
        <v>2791239.3612398002</v>
      </c>
      <c r="C18" s="6">
        <v>12.8483463254549</v>
      </c>
      <c r="D18" s="6">
        <v>794.15824395007701</v>
      </c>
      <c r="E18" s="4">
        <v>869.52549762167303</v>
      </c>
      <c r="F18">
        <v>3</v>
      </c>
      <c r="L18" s="6"/>
    </row>
    <row r="19" spans="1:12" x14ac:dyDescent="0.2">
      <c r="A19" s="6">
        <v>16</v>
      </c>
      <c r="B19" s="6">
        <v>3351880.40539975</v>
      </c>
      <c r="C19" s="6">
        <v>15.4484144056867</v>
      </c>
      <c r="D19" s="6">
        <v>794.82994053265998</v>
      </c>
      <c r="E19" s="4">
        <v>869.88704733538202</v>
      </c>
      <c r="F19">
        <v>2</v>
      </c>
    </row>
    <row r="20" spans="1:12" x14ac:dyDescent="0.2">
      <c r="A20" s="6">
        <v>17</v>
      </c>
      <c r="B20" s="6">
        <v>2791240.4248382901</v>
      </c>
      <c r="C20" s="6">
        <v>12.8483463254549</v>
      </c>
      <c r="D20" s="6">
        <v>794.15831336510803</v>
      </c>
      <c r="E20" s="4">
        <v>869.52550681839705</v>
      </c>
      <c r="F20">
        <v>3</v>
      </c>
    </row>
    <row r="21" spans="1:12" x14ac:dyDescent="0.2">
      <c r="A21" s="6">
        <v>18</v>
      </c>
      <c r="B21" s="6">
        <v>3351880.4053993998</v>
      </c>
      <c r="C21" s="6">
        <v>15.4484144056867</v>
      </c>
      <c r="D21" s="6">
        <v>794.83058874236303</v>
      </c>
      <c r="E21" s="4">
        <v>869.88710672140405</v>
      </c>
      <c r="F21">
        <v>2</v>
      </c>
    </row>
    <row r="24" spans="1:12" x14ac:dyDescent="0.2">
      <c r="A24" t="s">
        <v>18</v>
      </c>
      <c r="B24" t="s">
        <v>23</v>
      </c>
      <c r="C24" t="s">
        <v>24</v>
      </c>
      <c r="D24" t="s">
        <v>25</v>
      </c>
    </row>
    <row r="25" spans="1:12" x14ac:dyDescent="0.2">
      <c r="A25" t="s">
        <v>19</v>
      </c>
      <c r="B25" s="2">
        <v>71209321.224425435</v>
      </c>
      <c r="C25" t="s">
        <v>22</v>
      </c>
      <c r="D25" t="s">
        <v>26</v>
      </c>
    </row>
    <row r="26" spans="1:12" x14ac:dyDescent="0.2">
      <c r="A26" t="s">
        <v>20</v>
      </c>
      <c r="B26">
        <v>1277.444</v>
      </c>
      <c r="C26" t="s">
        <v>21</v>
      </c>
    </row>
    <row r="27" spans="1:12" x14ac:dyDescent="0.2">
      <c r="A27" t="s">
        <v>28</v>
      </c>
      <c r="B27">
        <v>150</v>
      </c>
      <c r="C27" t="s">
        <v>29</v>
      </c>
    </row>
    <row r="28" spans="1:12" x14ac:dyDescent="0.2">
      <c r="A28" t="s">
        <v>27</v>
      </c>
      <c r="B28">
        <v>384.60553299999998</v>
      </c>
      <c r="C28" t="s">
        <v>30</v>
      </c>
    </row>
    <row r="29" spans="1:12" x14ac:dyDescent="0.2">
      <c r="A29" t="s">
        <v>57</v>
      </c>
      <c r="B29" s="1" cm="1">
        <f t="array" ref="B29">SUM(C3:C21*D3:D21)/SUM(C3:C21)-623.15</f>
        <v>149.98500804464254</v>
      </c>
    </row>
    <row r="30" spans="1:12" x14ac:dyDescent="0.2">
      <c r="A30" t="s">
        <v>58</v>
      </c>
      <c r="B30" s="10">
        <f>B29/B27</f>
        <v>0.99990005363095025</v>
      </c>
    </row>
    <row r="31" spans="1:12" x14ac:dyDescent="0.2">
      <c r="A31" t="s">
        <v>31</v>
      </c>
      <c r="B31" s="1">
        <f>B28/19*B30</f>
        <v>20.240373319655799</v>
      </c>
      <c r="C31" t="s">
        <v>30</v>
      </c>
    </row>
    <row r="32" spans="1:12" x14ac:dyDescent="0.2">
      <c r="A32" t="s">
        <v>50</v>
      </c>
      <c r="B32">
        <v>623.15</v>
      </c>
      <c r="C32" t="s">
        <v>29</v>
      </c>
    </row>
    <row r="37" spans="1:15" x14ac:dyDescent="0.2">
      <c r="A37" s="7"/>
      <c r="B37" s="7"/>
      <c r="C37" s="7"/>
      <c r="D37" s="7"/>
      <c r="E37" s="7"/>
      <c r="I37" s="6"/>
      <c r="J37" s="6"/>
      <c r="K37" s="6"/>
      <c r="L37" s="6"/>
      <c r="M37" s="6"/>
    </row>
    <row r="38" spans="1:15" x14ac:dyDescent="0.2">
      <c r="A38" s="7"/>
      <c r="B38" s="7"/>
      <c r="C38" s="7"/>
      <c r="D38" s="7"/>
      <c r="E38" s="7"/>
      <c r="F38" s="1"/>
      <c r="G38" s="1"/>
      <c r="I38" s="6"/>
      <c r="J38" s="6"/>
      <c r="K38" s="6"/>
      <c r="L38" s="6"/>
      <c r="M38" s="6"/>
      <c r="N38" s="1"/>
      <c r="O38" s="1"/>
    </row>
    <row r="39" spans="1:15" x14ac:dyDescent="0.2">
      <c r="A39" s="7"/>
      <c r="B39" s="7"/>
      <c r="C39" s="7"/>
      <c r="D39" s="7"/>
      <c r="E39" s="7"/>
      <c r="F39" s="1"/>
      <c r="G39" s="1"/>
      <c r="I39" s="6"/>
      <c r="J39" s="6"/>
      <c r="K39" s="6"/>
      <c r="L39" s="6"/>
      <c r="M39" s="6"/>
      <c r="N39" s="1"/>
      <c r="O39" s="1"/>
    </row>
    <row r="40" spans="1:15" x14ac:dyDescent="0.2">
      <c r="A40" s="7"/>
      <c r="B40" s="7"/>
      <c r="C40" s="7"/>
      <c r="D40" s="7"/>
      <c r="E40" s="7"/>
      <c r="F40" s="1"/>
      <c r="G40" s="1"/>
      <c r="I40" s="6"/>
      <c r="J40" s="6"/>
      <c r="K40" s="6"/>
      <c r="L40" s="6"/>
      <c r="M40" s="6"/>
      <c r="N40" s="1"/>
      <c r="O40" s="1"/>
    </row>
    <row r="41" spans="1:15" x14ac:dyDescent="0.2">
      <c r="A41" s="7"/>
      <c r="B41" s="7"/>
      <c r="C41" s="7"/>
      <c r="D41" s="7"/>
      <c r="E41" s="7"/>
      <c r="F41" s="1"/>
      <c r="G41" s="1"/>
      <c r="I41" s="6"/>
      <c r="J41" s="6"/>
      <c r="K41" s="6"/>
      <c r="L41" s="6"/>
      <c r="M41" s="6"/>
      <c r="N41" s="1"/>
      <c r="O41" s="1"/>
    </row>
    <row r="42" spans="1:15" x14ac:dyDescent="0.2">
      <c r="A42" s="7"/>
      <c r="B42" s="7"/>
      <c r="C42" s="7"/>
      <c r="D42" s="7"/>
      <c r="E42" s="7"/>
      <c r="F42" s="1"/>
      <c r="G42" s="1"/>
      <c r="I42" s="6"/>
      <c r="J42" s="6"/>
      <c r="K42" s="6"/>
      <c r="L42" s="6"/>
      <c r="M42" s="6"/>
      <c r="N42" s="1"/>
      <c r="O42" s="1"/>
    </row>
    <row r="43" spans="1:15" x14ac:dyDescent="0.2">
      <c r="A43" s="7"/>
      <c r="B43" s="7"/>
      <c r="C43" s="7"/>
      <c r="D43" s="7"/>
      <c r="E43" s="7"/>
      <c r="F43" s="1"/>
      <c r="G43" s="1"/>
      <c r="I43" s="6"/>
      <c r="J43" s="6"/>
      <c r="K43" s="6"/>
      <c r="L43" s="6"/>
      <c r="M43" s="6"/>
      <c r="N43" s="1"/>
      <c r="O43" s="1"/>
    </row>
    <row r="44" spans="1:15" x14ac:dyDescent="0.2">
      <c r="A44" s="7"/>
      <c r="B44" s="7"/>
      <c r="C44" s="7"/>
      <c r="D44" s="7"/>
      <c r="E44" s="7"/>
      <c r="F44" s="1"/>
      <c r="G44" s="1"/>
      <c r="I44" s="6"/>
      <c r="J44" s="6"/>
      <c r="K44" s="6"/>
      <c r="L44" s="6"/>
      <c r="M44" s="6"/>
      <c r="N44" s="1"/>
      <c r="O44" s="1"/>
    </row>
    <row r="45" spans="1:15" x14ac:dyDescent="0.2">
      <c r="A45" s="7"/>
      <c r="B45" s="7"/>
      <c r="C45" s="7"/>
      <c r="D45" s="7"/>
      <c r="E45" s="7"/>
      <c r="F45" s="1"/>
      <c r="G45" s="1"/>
      <c r="I45" s="6"/>
      <c r="J45" s="6"/>
      <c r="K45" s="6"/>
      <c r="L45" s="6"/>
      <c r="M45" s="6"/>
      <c r="N45" s="1"/>
      <c r="O45" s="1"/>
    </row>
    <row r="46" spans="1:15" x14ac:dyDescent="0.2">
      <c r="A46" s="7"/>
      <c r="B46" s="7"/>
      <c r="C46" s="7"/>
      <c r="D46" s="7"/>
      <c r="E46" s="7"/>
      <c r="F46" s="1"/>
      <c r="G46" s="1"/>
      <c r="I46" s="6"/>
      <c r="J46" s="6"/>
      <c r="K46" s="6"/>
      <c r="L46" s="6"/>
      <c r="M46" s="6"/>
      <c r="N46" s="1"/>
      <c r="O46" s="1"/>
    </row>
    <row r="47" spans="1:15" x14ac:dyDescent="0.2">
      <c r="A47" s="7"/>
      <c r="B47" s="7"/>
      <c r="C47" s="7"/>
      <c r="D47" s="7"/>
      <c r="E47" s="7"/>
      <c r="F47" s="1"/>
      <c r="G47" s="1"/>
      <c r="I47" s="6"/>
      <c r="J47" s="6"/>
      <c r="K47" s="6"/>
      <c r="L47" s="6"/>
      <c r="M47" s="6"/>
      <c r="N47" s="1"/>
      <c r="O47" s="1"/>
    </row>
    <row r="48" spans="1:15" x14ac:dyDescent="0.2">
      <c r="A48" s="7"/>
      <c r="B48" s="7"/>
      <c r="C48" s="7"/>
      <c r="D48" s="7"/>
      <c r="E48" s="7"/>
      <c r="F48" s="1"/>
      <c r="G48" s="1"/>
      <c r="I48" s="6"/>
      <c r="J48" s="6"/>
      <c r="K48" s="6"/>
      <c r="L48" s="6"/>
      <c r="M48" s="6"/>
      <c r="N48" s="1"/>
      <c r="O48" s="1"/>
    </row>
    <row r="53" spans="2:10" x14ac:dyDescent="0.2">
      <c r="B53" s="2"/>
      <c r="C53" s="2"/>
      <c r="F53" s="7"/>
      <c r="G53" s="7"/>
      <c r="H53" s="3"/>
      <c r="J53" s="6"/>
    </row>
    <row r="54" spans="2:10" x14ac:dyDescent="0.2">
      <c r="B54" s="2"/>
      <c r="C54" s="2"/>
      <c r="F54" s="7"/>
      <c r="G54" s="7"/>
      <c r="H54" s="3"/>
      <c r="J54" s="6"/>
    </row>
    <row r="55" spans="2:10" x14ac:dyDescent="0.2">
      <c r="B55" s="2"/>
      <c r="C55" s="2"/>
      <c r="F55" s="7"/>
      <c r="G55" s="7"/>
      <c r="H55" s="3"/>
      <c r="J55" s="6"/>
    </row>
    <row r="56" spans="2:10" x14ac:dyDescent="0.2">
      <c r="B56" s="2"/>
      <c r="C56" s="2"/>
      <c r="F56" s="7"/>
      <c r="G56" s="7"/>
      <c r="H56" s="3"/>
      <c r="J56" s="6"/>
    </row>
    <row r="57" spans="2:10" x14ac:dyDescent="0.2">
      <c r="B57" s="2"/>
      <c r="C57" s="2"/>
      <c r="F57" s="7"/>
      <c r="G57" s="7"/>
      <c r="H57" s="3"/>
      <c r="J57" s="6"/>
    </row>
    <row r="58" spans="2:10" x14ac:dyDescent="0.2">
      <c r="B58" s="2"/>
      <c r="C58" s="2"/>
      <c r="F58" s="7"/>
      <c r="G58" s="7"/>
      <c r="H58" s="3"/>
      <c r="J58" s="6"/>
    </row>
    <row r="59" spans="2:10" x14ac:dyDescent="0.2">
      <c r="B59" s="2"/>
      <c r="C59" s="2"/>
      <c r="F59" s="7"/>
      <c r="G59" s="7"/>
      <c r="H59" s="3"/>
      <c r="J59" s="6"/>
    </row>
    <row r="60" spans="2:10" x14ac:dyDescent="0.2">
      <c r="B60" s="2"/>
      <c r="C60" s="2"/>
      <c r="F60" s="7"/>
      <c r="G60" s="7"/>
      <c r="H60" s="3"/>
      <c r="J60" s="6"/>
    </row>
    <row r="61" spans="2:10" x14ac:dyDescent="0.2">
      <c r="B61" s="2"/>
      <c r="C61" s="2"/>
      <c r="F61" s="7"/>
      <c r="G61" s="7"/>
      <c r="H61" s="3"/>
      <c r="J61" s="6"/>
    </row>
    <row r="62" spans="2:10" x14ac:dyDescent="0.2">
      <c r="B62" s="2"/>
      <c r="C62" s="2"/>
      <c r="F62" s="7"/>
      <c r="G62" s="7"/>
      <c r="H62" s="3"/>
      <c r="J62" s="6"/>
    </row>
    <row r="63" spans="2:10" x14ac:dyDescent="0.2">
      <c r="B63" s="2"/>
      <c r="C63" s="2"/>
      <c r="F63" s="7"/>
      <c r="G63" s="7"/>
      <c r="H63" s="3"/>
      <c r="J63" s="6"/>
    </row>
    <row r="64" spans="2:10" x14ac:dyDescent="0.2">
      <c r="B64" s="2"/>
      <c r="C64" s="2"/>
      <c r="F64" s="7"/>
      <c r="G64" s="7"/>
      <c r="H64" s="3"/>
      <c r="J64" s="6"/>
    </row>
    <row r="65" spans="2:10" x14ac:dyDescent="0.2">
      <c r="B65" s="2"/>
      <c r="C65" s="2"/>
      <c r="F65" s="7"/>
      <c r="G65" s="7"/>
      <c r="H65" s="3"/>
      <c r="J65" s="6"/>
    </row>
    <row r="66" spans="2:10" x14ac:dyDescent="0.2">
      <c r="B66" s="2"/>
      <c r="C66" s="2"/>
      <c r="F66" s="7"/>
      <c r="G66" s="7"/>
      <c r="H66" s="3"/>
      <c r="J66" s="6"/>
    </row>
    <row r="67" spans="2:10" x14ac:dyDescent="0.2">
      <c r="B67" s="2"/>
      <c r="C67" s="2"/>
      <c r="F67" s="7"/>
      <c r="G67" s="7"/>
      <c r="H67" s="3"/>
      <c r="J67" s="6"/>
    </row>
    <row r="68" spans="2:10" x14ac:dyDescent="0.2">
      <c r="B68" s="2"/>
      <c r="C68" s="2"/>
      <c r="F68" s="7"/>
      <c r="G68" s="7"/>
      <c r="H68" s="3"/>
      <c r="J68" s="6"/>
    </row>
    <row r="69" spans="2:10" x14ac:dyDescent="0.2">
      <c r="B69" s="2"/>
      <c r="C69" s="2"/>
      <c r="F69" s="7"/>
      <c r="G69" s="7"/>
      <c r="H69" s="3"/>
      <c r="J69" s="6"/>
    </row>
    <row r="70" spans="2:10" x14ac:dyDescent="0.2">
      <c r="B70" s="2"/>
      <c r="C70" s="2"/>
      <c r="F70" s="7"/>
      <c r="G70" s="7"/>
      <c r="H70" s="3"/>
      <c r="J70" s="6"/>
    </row>
    <row r="71" spans="2:10" x14ac:dyDescent="0.2">
      <c r="B71" s="2"/>
      <c r="C71" s="2"/>
      <c r="F71" s="7"/>
      <c r="G71" s="7"/>
      <c r="H71" s="3"/>
      <c r="J71" s="6"/>
    </row>
    <row r="79" spans="2:10" x14ac:dyDescent="0.2">
      <c r="B79" s="11"/>
    </row>
    <row r="80" spans="2:10" x14ac:dyDescent="0.2">
      <c r="B80" s="8"/>
    </row>
    <row r="82" spans="1:2" x14ac:dyDescent="0.2">
      <c r="A82" s="8"/>
    </row>
    <row r="83" spans="1:2" x14ac:dyDescent="0.2">
      <c r="A83" s="8"/>
    </row>
    <row r="84" spans="1:2" x14ac:dyDescent="0.2">
      <c r="A84" s="8"/>
    </row>
    <row r="85" spans="1:2" x14ac:dyDescent="0.2">
      <c r="A85" s="8"/>
    </row>
    <row r="86" spans="1:2" x14ac:dyDescent="0.2">
      <c r="A86" s="8"/>
    </row>
    <row r="87" spans="1:2" x14ac:dyDescent="0.2">
      <c r="A87" s="8"/>
    </row>
    <row r="88" spans="1:2" x14ac:dyDescent="0.2">
      <c r="A88" s="9"/>
      <c r="B88" s="9"/>
    </row>
    <row r="89" spans="1:2" x14ac:dyDescent="0.2">
      <c r="A89" s="9"/>
    </row>
    <row r="90" spans="1:2" x14ac:dyDescent="0.2">
      <c r="B90" s="11"/>
    </row>
    <row r="91" spans="1:2" x14ac:dyDescent="0.2">
      <c r="B91" s="8"/>
    </row>
    <row r="93" spans="1:2" x14ac:dyDescent="0.2">
      <c r="A93" s="8"/>
    </row>
    <row r="94" spans="1:2" x14ac:dyDescent="0.2">
      <c r="A94" s="8"/>
    </row>
    <row r="95" spans="1:2" x14ac:dyDescent="0.2">
      <c r="A95" s="8"/>
    </row>
    <row r="96" spans="1:2" x14ac:dyDescent="0.2">
      <c r="A96" s="8"/>
    </row>
    <row r="97" spans="1:2" x14ac:dyDescent="0.2">
      <c r="A97" s="8"/>
    </row>
    <row r="98" spans="1:2" x14ac:dyDescent="0.2">
      <c r="A98" s="8"/>
    </row>
    <row r="99" spans="1:2" x14ac:dyDescent="0.2">
      <c r="A99" s="9"/>
      <c r="B99" s="9"/>
    </row>
    <row r="100" spans="1:2" x14ac:dyDescent="0.2">
      <c r="A100" s="9"/>
    </row>
    <row r="101" spans="1:2" x14ac:dyDescent="0.2">
      <c r="B101" s="11"/>
    </row>
    <row r="102" spans="1:2" x14ac:dyDescent="0.2">
      <c r="B102" s="8"/>
    </row>
    <row r="104" spans="1:2" x14ac:dyDescent="0.2">
      <c r="A104" s="8"/>
    </row>
    <row r="105" spans="1:2" x14ac:dyDescent="0.2">
      <c r="A105" s="8"/>
    </row>
    <row r="106" spans="1:2" x14ac:dyDescent="0.2">
      <c r="A106" s="8"/>
    </row>
    <row r="107" spans="1:2" x14ac:dyDescent="0.2">
      <c r="A107" s="8"/>
    </row>
    <row r="108" spans="1:2" x14ac:dyDescent="0.2">
      <c r="A108" s="8"/>
    </row>
    <row r="109" spans="1:2" x14ac:dyDescent="0.2">
      <c r="A109" s="8"/>
    </row>
    <row r="116" spans="1:7" x14ac:dyDescent="0.2">
      <c r="A116" t="s">
        <v>51</v>
      </c>
      <c r="B116">
        <f>SQRT((B87-B111)^2+(B98-B111)^2+(B109-B111)^2)</f>
        <v>0</v>
      </c>
      <c r="C116">
        <f>SQRT((C87-C111)^2+(C98-C111)^2+(C109-C111)^2)</f>
        <v>0</v>
      </c>
      <c r="D116">
        <f>SQRT((D87-D111)^2+(D98-D111)^2+(D109-D111)^2)</f>
        <v>0</v>
      </c>
      <c r="E116">
        <f t="shared" ref="E116:O116" si="1">SQRT((E87-E111)^2+(E98-E111)^2+(E109-E111)^2)</f>
        <v>0</v>
      </c>
      <c r="F116">
        <f t="shared" si="1"/>
        <v>0</v>
      </c>
      <c r="G116">
        <f t="shared" si="1"/>
        <v>0</v>
      </c>
    </row>
    <row r="117" spans="1:7" x14ac:dyDescent="0.2">
      <c r="A117" t="s">
        <v>52</v>
      </c>
      <c r="B117">
        <f>IF(B116&lt;1, 1, 0)</f>
        <v>1</v>
      </c>
      <c r="C117">
        <f>IF(C116&lt;1, 1, 0)</f>
        <v>1</v>
      </c>
      <c r="D117">
        <f>IF(D116&lt;1, 1, 0)</f>
        <v>1</v>
      </c>
      <c r="E117">
        <f t="shared" ref="E117:G117" si="2">IF(E116&lt;1, 1, 0)</f>
        <v>1</v>
      </c>
      <c r="F117">
        <f t="shared" si="2"/>
        <v>1</v>
      </c>
      <c r="G117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grouping</vt:lpstr>
      <vt:lpstr>iter-1 setup</vt:lpstr>
      <vt:lpstr>iter-2 setup</vt:lpstr>
      <vt:lpstr>iter-3 setup (converged)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2021-11-01T21:45:36Z</dcterms:created>
  <dcterms:modified xsi:type="dcterms:W3CDTF">2021-11-01T23:06:03Z</dcterms:modified>
</cp:coreProperties>
</file>