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arning Python\Lesson Note\PhanTichTaiChinh\"/>
    </mc:Choice>
  </mc:AlternateContent>
  <bookViews>
    <workbookView xWindow="0" yWindow="0" windowWidth="28800" windowHeight="11685" activeTab="6"/>
  </bookViews>
  <sheets>
    <sheet name="Cân đối kt" sheetId="1" r:id="rId1"/>
    <sheet name="bc kqhdkd" sheetId="2" r:id="rId2"/>
    <sheet name="KQHDKD" sheetId="5" state="hidden" r:id="rId3"/>
    <sheet name="lưu chuyển tt" sheetId="3" r:id="rId4"/>
    <sheet name="Khả năng thanh toán" sheetId="8" r:id="rId5"/>
    <sheet name="Hiệu quả kinh doanh" sheetId="9" r:id="rId6"/>
    <sheet name="Sheet1" sheetId="10" r:id="rId7"/>
    <sheet name="ref cash flow" sheetId="7" state="hidden" r:id="rId8"/>
    <sheet name="CDKT 2019-2020" sheetId="4" state="hidden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0" l="1"/>
  <c r="H8" i="10"/>
  <c r="I13" i="10"/>
  <c r="H13" i="10"/>
  <c r="I36" i="10"/>
  <c r="H36" i="10"/>
  <c r="I31" i="10"/>
  <c r="H31" i="10"/>
  <c r="N35" i="10"/>
  <c r="M35" i="10"/>
  <c r="N10" i="10"/>
  <c r="N21" i="10"/>
  <c r="M21" i="10"/>
  <c r="S21" i="10"/>
  <c r="R21" i="10"/>
  <c r="F43" i="9" l="1"/>
  <c r="E43" i="9"/>
  <c r="D43" i="9"/>
  <c r="F42" i="9"/>
  <c r="E42" i="9"/>
  <c r="D42" i="9"/>
  <c r="F30" i="9"/>
  <c r="E30" i="9"/>
  <c r="D30" i="9"/>
  <c r="F29" i="9"/>
  <c r="E29" i="9"/>
  <c r="D29" i="9"/>
  <c r="F28" i="9"/>
  <c r="E28" i="9"/>
  <c r="D28" i="9"/>
  <c r="E10" i="9"/>
  <c r="D10" i="9"/>
  <c r="C10" i="9"/>
  <c r="E9" i="9"/>
  <c r="D9" i="9"/>
  <c r="D12" i="9" s="1"/>
  <c r="C9" i="9"/>
  <c r="C12" i="9" s="1"/>
  <c r="E8" i="9"/>
  <c r="D8" i="9"/>
  <c r="C8" i="9"/>
  <c r="E4" i="9"/>
  <c r="D4" i="9"/>
  <c r="C4" i="9"/>
  <c r="E3" i="9"/>
  <c r="E5" i="9" s="1"/>
  <c r="D3" i="9"/>
  <c r="C3" i="9"/>
  <c r="G83" i="8"/>
  <c r="H83" i="8"/>
  <c r="F83" i="8"/>
  <c r="G82" i="8"/>
  <c r="H82" i="8"/>
  <c r="F82" i="8"/>
  <c r="H81" i="8"/>
  <c r="G81" i="8"/>
  <c r="F81" i="8"/>
  <c r="H80" i="8"/>
  <c r="G80" i="8"/>
  <c r="F80" i="8"/>
  <c r="G62" i="8"/>
  <c r="H62" i="8"/>
  <c r="F62" i="8"/>
  <c r="G61" i="8"/>
  <c r="H61" i="8"/>
  <c r="F61" i="8"/>
  <c r="H60" i="8"/>
  <c r="G60" i="8"/>
  <c r="F60" i="8"/>
  <c r="H59" i="8"/>
  <c r="G59" i="8"/>
  <c r="F59" i="8"/>
  <c r="H58" i="8"/>
  <c r="G58" i="8"/>
  <c r="F58" i="8"/>
  <c r="G55" i="8"/>
  <c r="H55" i="8"/>
  <c r="F55" i="8"/>
  <c r="H54" i="8"/>
  <c r="G54" i="8"/>
  <c r="F54" i="8"/>
  <c r="H53" i="8"/>
  <c r="G53" i="8"/>
  <c r="F53" i="8"/>
  <c r="G46" i="8"/>
  <c r="G41" i="8"/>
  <c r="H41" i="8"/>
  <c r="F41" i="8"/>
  <c r="H40" i="8"/>
  <c r="G40" i="8"/>
  <c r="F40" i="8"/>
  <c r="H39" i="8"/>
  <c r="G39" i="8"/>
  <c r="F39" i="8"/>
  <c r="C5" i="9" l="1"/>
  <c r="E12" i="9"/>
  <c r="D5" i="9"/>
  <c r="C11" i="9"/>
  <c r="D11" i="9"/>
  <c r="E11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2" i="2"/>
  <c r="G23" i="2"/>
  <c r="G25" i="2"/>
  <c r="G2" i="2"/>
  <c r="E2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2" i="2"/>
  <c r="E23" i="2"/>
  <c r="E2" i="2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2" i="1"/>
  <c r="G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4" i="1"/>
  <c r="G5" i="8"/>
  <c r="H5" i="8"/>
  <c r="G13" i="8" l="1"/>
  <c r="H13" i="8"/>
  <c r="F13" i="8"/>
  <c r="H12" i="8"/>
  <c r="G12" i="8"/>
  <c r="F12" i="8"/>
  <c r="G11" i="8"/>
  <c r="H11" i="8"/>
  <c r="F11" i="8"/>
  <c r="G6" i="8"/>
  <c r="H6" i="8"/>
  <c r="G4" i="8"/>
  <c r="H4" i="8"/>
  <c r="F5" i="3" l="1"/>
  <c r="F6" i="3"/>
  <c r="F7" i="3"/>
  <c r="F8" i="3"/>
  <c r="F9" i="3"/>
  <c r="F10" i="3"/>
  <c r="F11" i="3"/>
  <c r="F12" i="3"/>
  <c r="F13" i="3"/>
  <c r="F14" i="3"/>
  <c r="F15" i="3"/>
  <c r="F17" i="3"/>
  <c r="F18" i="3"/>
  <c r="F19" i="3"/>
  <c r="F20" i="3"/>
  <c r="F22" i="3"/>
  <c r="F23" i="3"/>
  <c r="F24" i="3"/>
  <c r="F25" i="3"/>
  <c r="F27" i="3"/>
  <c r="F28" i="3"/>
  <c r="F30" i="3"/>
  <c r="F31" i="3"/>
  <c r="F32" i="3"/>
  <c r="F33" i="3"/>
  <c r="F34" i="3"/>
  <c r="F35" i="3"/>
  <c r="F36" i="3"/>
  <c r="F37" i="3"/>
  <c r="F38" i="3"/>
  <c r="F3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2" i="2"/>
  <c r="D23" i="2"/>
  <c r="D25" i="2"/>
  <c r="D2" i="2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5" i="1"/>
  <c r="D6" i="1"/>
  <c r="D7" i="1"/>
  <c r="D8" i="1"/>
  <c r="D9" i="1"/>
  <c r="D10" i="1"/>
  <c r="D11" i="1"/>
  <c r="D12" i="1"/>
  <c r="F4" i="8" l="1"/>
  <c r="F6" i="8"/>
  <c r="F5" i="8"/>
  <c r="E38" i="3"/>
  <c r="D38" i="3"/>
  <c r="L9" i="10" l="1"/>
  <c r="M10" i="10"/>
</calcChain>
</file>

<file path=xl/sharedStrings.xml><?xml version="1.0" encoding="utf-8"?>
<sst xmlns="http://schemas.openxmlformats.org/spreadsheetml/2006/main" count="477" uniqueCount="206">
  <si>
    <t>-</t>
  </si>
  <si>
    <t>Mã số</t>
  </si>
  <si>
    <t>Thuyết minh</t>
  </si>
  <si>
    <t>31/12/2021
 VND</t>
  </si>
  <si>
    <t>TÀI SẢN</t>
  </si>
  <si>
    <t>Tài sản ngắn hạn (100=110+120+130+140+150)</t>
  </si>
  <si>
    <t>Tiền và các khoản tương đưong tiền</t>
  </si>
  <si>
    <t>Tiền</t>
  </si>
  <si>
    <t>Các khoản tương đương tiền</t>
  </si>
  <si>
    <t>Đầu tư tài chính ngắn hạn</t>
  </si>
  <si>
    <t>Phải thu ngắn hạn của khách hàng</t>
  </si>
  <si>
    <t>Các khoản phải thu ngắn hạn</t>
  </si>
  <si>
    <t>Đầu tư nắm giữ đến ngày đáo hạn</t>
  </si>
  <si>
    <t>Thuế giá trị gia tăng được khấu trừ</t>
  </si>
  <si>
    <t>Thuế và các khoản phải thu Nhà nước</t>
  </si>
  <si>
    <t>Chi phí trả trước ngắn hạn</t>
  </si>
  <si>
    <t>Tài sản ngắn hạn khác</t>
  </si>
  <si>
    <t>Trả trước cho người bán ngắn hạn</t>
  </si>
  <si>
    <t>Dự phòng các khoản phải thu ngắn hạn khó đòi</t>
  </si>
  <si>
    <t>Tài sản thiếu chờ xử lý</t>
  </si>
  <si>
    <t>Giá tri hao mòn lùy ké</t>
  </si>
  <si>
    <t>Tài sản dài hạn (200=210+220+230+240+250+260)</t>
  </si>
  <si>
    <t>Phải thu về cho vay ngân hàng</t>
  </si>
  <si>
    <t>Phải thu ngắn hạn khác</t>
  </si>
  <si>
    <t>Hàng tồn kho</t>
  </si>
  <si>
    <t>Các khoản phải thu dài hạn</t>
  </si>
  <si>
    <t>Phải thu dài hạn khác</t>
  </si>
  <si>
    <t>Tài sản cố định</t>
  </si>
  <si>
    <t>Tài sản cố định hữu hình</t>
  </si>
  <si>
    <t>Nguyên giá</t>
  </si>
  <si>
    <t>Giá trị hao mòn lũy kế</t>
  </si>
  <si>
    <t>Tai sản cố định vô hình</t>
  </si>
  <si>
    <t>Tài sản dài hạn khác</t>
  </si>
  <si>
    <t>Bất động sản dầu tư</t>
  </si>
  <si>
    <t>Chi phí sản xuât,kinh doanh dở dang dài hạn</t>
  </si>
  <si>
    <t>Tài sản dở dang dài hạn</t>
  </si>
  <si>
    <t>Xây dựng cơ bản dở dang</t>
  </si>
  <si>
    <t>Đầu tư tài chính dài hạn</t>
  </si>
  <si>
    <t>TỔNG TÀI SẢN (270=100+200)</t>
  </si>
  <si>
    <t>Lợi thế thương mại</t>
  </si>
  <si>
    <t>Đầu tư vào các công ty liên kết</t>
  </si>
  <si>
    <t>Đầu tư góp vốn vào đơn vị khác</t>
  </si>
  <si>
    <t>Đầu tư năm giữ đến ngày đáo hạn</t>
  </si>
  <si>
    <t>Tài sản thuế thu nhâp hoãn lại</t>
  </si>
  <si>
    <t>NGUỒN VỐN</t>
  </si>
  <si>
    <t>NỢ PHẢI TRẢ (300=310+330)</t>
  </si>
  <si>
    <t>Nợ ngắn hạn</t>
  </si>
  <si>
    <t>Phải trả người bán ngắn hạn</t>
  </si>
  <si>
    <t>Người mua trả tiền trước ngắn hạn</t>
  </si>
  <si>
    <t>Thuế và các khoản phải nộp Nhà nước</t>
  </si>
  <si>
    <t>Phải trả người lao động</t>
  </si>
  <si>
    <t>Chi phí phải trả ngắn hạn</t>
  </si>
  <si>
    <t>Phải trả ngắn hạn khác</t>
  </si>
  <si>
    <t>Vay ngắn hạn</t>
  </si>
  <si>
    <t>Dự phòng phải trả ngắn hạn</t>
  </si>
  <si>
    <t>Qũy khen thưởng, phúc lợi</t>
  </si>
  <si>
    <t>Nợ dài hạn</t>
  </si>
  <si>
    <t>Chi phí phải trả dài hạn</t>
  </si>
  <si>
    <t>Doanh thu chưa thực hiện dài hạn</t>
  </si>
  <si>
    <t>Phaải trả dài hạn khác</t>
  </si>
  <si>
    <t>Vay dài hạn</t>
  </si>
  <si>
    <t>Thuế và thu nhập hoãn lại phải trả</t>
  </si>
  <si>
    <t>Dự phòng phải trả dài hạn</t>
  </si>
  <si>
    <t>421b</t>
  </si>
  <si>
    <t>VỐN CHỦ SỞ HỮU(400=410)</t>
  </si>
  <si>
    <t>Cổ phiếu phổ thông có quyền biểu quyết</t>
  </si>
  <si>
    <t>411a</t>
  </si>
  <si>
    <t>Thặng dư vốn cổ phần</t>
  </si>
  <si>
    <t>Chênh lệch tỷ giá</t>
  </si>
  <si>
    <t>Qũy đầu tư, phát triển</t>
  </si>
  <si>
    <t>LNST chưa phân phối đến cuối năm trước</t>
  </si>
  <si>
    <t>LNST chưa phân phối năm nay</t>
  </si>
  <si>
    <t>421a</t>
  </si>
  <si>
    <t>Lợi ích cổ đông không kiểm soát</t>
  </si>
  <si>
    <t>TỔNG NGUỒN VỐN (440=300+400)</t>
  </si>
  <si>
    <t>Lợi nhuận sau thuế chưa phân phối</t>
  </si>
  <si>
    <t>Vốn chủ sở hữu</t>
  </si>
  <si>
    <t>Vốn cổ phần</t>
  </si>
  <si>
    <t>Phải trải người bán dài hạn</t>
  </si>
  <si>
    <t>Doanh thu chưa thực hiên ngắn han</t>
  </si>
  <si>
    <t>Mã
số</t>
  </si>
  <si>
    <t>Thuyết
minh</t>
  </si>
  <si>
    <t>2021
VND</t>
  </si>
  <si>
    <t>2020
VND</t>
  </si>
  <si>
    <t>Doanh thu bán hàng và cung cấp dịch vụ</t>
  </si>
  <si>
    <t>Các khoản giảm trừ doanh thu</t>
  </si>
  <si>
    <t>Doanh thu thuần về bán hàng và cung cấp dịch vụ (10=01-02)</t>
  </si>
  <si>
    <t>Giá vốn hàng bán và dịch vụ cung cấp</t>
  </si>
  <si>
    <t>Lợi nhuận gộp (20=10-11)</t>
  </si>
  <si>
    <t>Doanh thu hoạt động tài chính</t>
  </si>
  <si>
    <t>Chi phí tài chính</t>
  </si>
  <si>
    <t>Trong đó: Chi phí đi vay</t>
  </si>
  <si>
    <t>Phần lãi trong công ty liên kết</t>
  </si>
  <si>
    <t>Chi phi bán hàng</t>
  </si>
  <si>
    <t>Lợi nhuận thuần từ hoạt động kinh doanh {30=20+(21-22)+24-(25+26)}</t>
  </si>
  <si>
    <t>Thu nhập khác</t>
  </si>
  <si>
    <t>Chi phí khác</t>
  </si>
  <si>
    <t>Kết quả từ hoạt động khác (40=31-31)</t>
  </si>
  <si>
    <t>Lợi nhuận kế toán trước thuế (50=30=40)</t>
  </si>
  <si>
    <t>Chi phí thuế TNDN hiện hành</t>
  </si>
  <si>
    <t>(Lợi ích)/chi phí thuế TNDN hoãn lại</t>
  </si>
  <si>
    <t>Lợi nhuận sau thuế TNDN  (60=50-51-52)</t>
  </si>
  <si>
    <t>Đã điều chỉnh lại</t>
  </si>
  <si>
    <t>Phân bổ cho:</t>
  </si>
  <si>
    <t>Lãi cơ bản trên cổ phiếu</t>
  </si>
  <si>
    <t>Cổ đông của công ty mẹ</t>
  </si>
  <si>
    <t>Cổ đông không kiểm soát</t>
  </si>
  <si>
    <t>Lợi nhuận trước thuế</t>
  </si>
  <si>
    <t>Điều chỉnh cho các khoản</t>
  </si>
  <si>
    <t>Khấu hao và phân bổ</t>
  </si>
  <si>
    <t>Phân bổ lợi thế thương mại</t>
  </si>
  <si>
    <t>Các khoản dự phòng</t>
  </si>
  <si>
    <t>Lỗ chênh lệch tỷ giá do đánh giá lại các khoản mục tiền tệ có gốc ngoại tệ</t>
  </si>
  <si>
    <t>Lãi từ hoạt động đầu tư</t>
  </si>
  <si>
    <t>Chi phí đi vay</t>
  </si>
  <si>
    <t>Lợi nhuận từ hoạt động kinh doanh trước những thay đổi vốn lưu động</t>
  </si>
  <si>
    <t>Biến động các khoản phải thu</t>
  </si>
  <si>
    <t>Biến động hàng tồn kho</t>
  </si>
  <si>
    <t>Biến động các khoản phải trả và nợ phải trả khác</t>
  </si>
  <si>
    <t>Biến động chi phí trả trước</t>
  </si>
  <si>
    <t>Tiền lãy vay đã trả</t>
  </si>
  <si>
    <t>Thuế thu nhập doanh nghiệp đã nộp</t>
  </si>
  <si>
    <t>Tiền chi khác cho hoạt động kinh doanh</t>
  </si>
  <si>
    <t>Lưu chuyển tiền thuần từ hoạt động kinh doanh</t>
  </si>
  <si>
    <t>LƯU CHUYỂN TIỀN TỆ TỪ HOẠT ĐỘNG KINH DOANH</t>
  </si>
  <si>
    <t>LƯU CHUYỂN TIỀN TỆ TỪ HOẠT ĐỘNG ĐẦU TƯ</t>
  </si>
  <si>
    <t>Tiền chi mua sắm. Xây dựng tài sản cố định và tài sản dài hạn khác</t>
  </si>
  <si>
    <t>Tiền thu từ thanh lý tài sản cố định và tài sản dài hạn khác</t>
  </si>
  <si>
    <t>Tiền chi mua các công cụ nợ của các đơn vị khác</t>
  </si>
  <si>
    <t>Tiền thu hồi cho vay, bán lại các công cụ nợ của các đơn vị khác</t>
  </si>
  <si>
    <t>Tiền thu hồi đầu tư góp vốn vào các đơn vị khác</t>
  </si>
  <si>
    <t>Tiền thu lãi tiền gửi và cho vay</t>
  </si>
  <si>
    <t>Lưu chuyển tiền thuần từ hoạt động đầu tư</t>
  </si>
  <si>
    <t>Tiền thi từ phát hành cổ phiếu, nhận vốn góp từ cổ đông không kiểm soát</t>
  </si>
  <si>
    <t>Tiền thu từ đi vay</t>
  </si>
  <si>
    <t>Tiền trả nợ gốc vay</t>
  </si>
  <si>
    <t>Tiền trả cổ tức</t>
  </si>
  <si>
    <t>Lưu chuyển tiền thuần trong năm (50=20+30+40)</t>
  </si>
  <si>
    <t>Tiền và các khoản tương dương tiền đầu năm</t>
  </si>
  <si>
    <t>Ảnh hưởng của thay đổi tỷ giá quy đổi ngoại tệ</t>
  </si>
  <si>
    <t>Tiền và các khoản tương dương tiền cuối năm (70=50+60+61)</t>
  </si>
  <si>
    <t>Lưu chuyển tiền thuần từ hoạt động tài chính</t>
  </si>
  <si>
    <t>LƯU CHUYỂN TIỀN TỪ HOẠT ĐỘNG TÀI CHÍNH</t>
  </si>
  <si>
    <t>Chi phí quản lý doanh nghiệp</t>
  </si>
  <si>
    <t>Dự phòng giảm giá hàng tồn kho</t>
  </si>
  <si>
    <t>Chi phí trả trước dài hạn</t>
  </si>
  <si>
    <t>Phải thu về cho vay dài hạn</t>
  </si>
  <si>
    <t>31/12/2020
 VND</t>
  </si>
  <si>
    <t>1/1/2020
VND</t>
  </si>
  <si>
    <t>Tài sản cố định vô hình</t>
  </si>
  <si>
    <t>Chi phí tra trước dài hạn</t>
  </si>
  <si>
    <t>Phải trả dài hạn khác</t>
  </si>
  <si>
    <t xml:space="preserve"> </t>
  </si>
  <si>
    <t>31/21/2020
VND</t>
  </si>
  <si>
    <t>31/21/2019
VND</t>
  </si>
  <si>
    <t>2019
VND</t>
  </si>
  <si>
    <t>Lợi nhuận gộp (2010-11)</t>
  </si>
  <si>
    <t>Lợi nhuận thuần từ hoạt động kinh doanh {3020+(21-22)+24-(25+26)}</t>
  </si>
  <si>
    <t>Kết quả từ hoạt động khác (4031-31)</t>
  </si>
  <si>
    <t>Lợi nhuận kế toán trước thuế (503040)</t>
  </si>
  <si>
    <t>Lợi nhuận sau thuế TNDN  (6050-51-52)</t>
  </si>
  <si>
    <t>(18,495,,398,244,903)</t>
  </si>
  <si>
    <t>Current</t>
  </si>
  <si>
    <t xml:space="preserve">Quick </t>
  </si>
  <si>
    <t>Cash payment</t>
  </si>
  <si>
    <t>year</t>
  </si>
  <si>
    <t>hoa sen</t>
  </si>
  <si>
    <t>no</t>
  </si>
  <si>
    <t>tsnh</t>
  </si>
  <si>
    <t>inv</t>
  </si>
  <si>
    <t>cash</t>
  </si>
  <si>
    <t>Cty</t>
  </si>
  <si>
    <t>HP</t>
  </si>
  <si>
    <t>HS</t>
  </si>
  <si>
    <t>nnh</t>
  </si>
  <si>
    <t>Industry Average</t>
  </si>
  <si>
    <t>Hòa Phát</t>
  </si>
  <si>
    <t>Ratio</t>
  </si>
  <si>
    <t>Asset turnover</t>
  </si>
  <si>
    <t>Inventory turnover</t>
  </si>
  <si>
    <t>DSI</t>
  </si>
  <si>
    <t>industry</t>
  </si>
  <si>
    <t>HPG</t>
  </si>
  <si>
    <t>Industry</t>
  </si>
  <si>
    <t>EBIT</t>
  </si>
  <si>
    <t>Interest Expense</t>
  </si>
  <si>
    <t>Interest Coverage</t>
  </si>
  <si>
    <t>Year</t>
  </si>
  <si>
    <t>Total Asset</t>
  </si>
  <si>
    <t>Total Debt</t>
  </si>
  <si>
    <t>Total Equity</t>
  </si>
  <si>
    <t>Debt/Equity</t>
  </si>
  <si>
    <t>Debt/Asset</t>
  </si>
  <si>
    <t>asset</t>
  </si>
  <si>
    <t>debt</t>
  </si>
  <si>
    <t>equity</t>
  </si>
  <si>
    <t>Average Receivable</t>
  </si>
  <si>
    <t>Net sales</t>
  </si>
  <si>
    <t>Receivable Turnover</t>
  </si>
  <si>
    <t>DIR</t>
  </si>
  <si>
    <t>ROA</t>
  </si>
  <si>
    <t>ROE</t>
  </si>
  <si>
    <t>ROI</t>
  </si>
  <si>
    <t>Gross Margin</t>
  </si>
  <si>
    <t>Net Margin</t>
  </si>
  <si>
    <t>Asset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</si>
</sst>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00"/>
    <numFmt numFmtId="167" formatCode="0.000%"/>
    <numFmt numFmtId="168" formatCode="0_);\(0\)"/>
    <numFmt numFmtId="169" formatCode="0.00_);\(0.00\)"/>
    <numFmt numFmtId="170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vertical="center" wrapText="1"/>
    </xf>
    <xf numFmtId="0" fontId="3" fillId="0" borderId="1" xfId="0" applyFont="1" applyBorder="1"/>
    <xf numFmtId="164" fontId="3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0" xfId="1" applyNumberFormat="1" applyFont="1" applyAlignment="1">
      <alignment horizontal="right"/>
    </xf>
    <xf numFmtId="165" fontId="3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center" vertical="center" wrapText="1"/>
    </xf>
    <xf numFmtId="164" fontId="3" fillId="0" borderId="1" xfId="1" applyNumberFormat="1" applyFont="1" applyBorder="1"/>
    <xf numFmtId="164" fontId="2" fillId="0" borderId="1" xfId="1" applyNumberFormat="1" applyFont="1" applyBorder="1"/>
    <xf numFmtId="42" fontId="3" fillId="0" borderId="1" xfId="1" applyNumberFormat="1" applyFont="1" applyBorder="1" applyAlignment="1">
      <alignment horizontal="center" wrapText="1"/>
    </xf>
    <xf numFmtId="42" fontId="3" fillId="0" borderId="1" xfId="0" applyNumberFormat="1" applyFont="1" applyBorder="1" applyAlignment="1">
      <alignment horizontal="center"/>
    </xf>
    <xf numFmtId="42" fontId="2" fillId="0" borderId="1" xfId="1" applyNumberFormat="1" applyFont="1" applyBorder="1" applyAlignment="1">
      <alignment horizontal="center" wrapText="1"/>
    </xf>
    <xf numFmtId="42" fontId="3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5" xfId="0" applyFont="1" applyBorder="1"/>
    <xf numFmtId="0" fontId="5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42" fontId="5" fillId="0" borderId="1" xfId="0" applyNumberFormat="1" applyFont="1" applyBorder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  <xf numFmtId="165" fontId="3" fillId="0" borderId="2" xfId="0" applyNumberFormat="1" applyFont="1" applyBorder="1" applyAlignment="1">
      <alignment horizontal="left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left"/>
    </xf>
    <xf numFmtId="165" fontId="3" fillId="0" borderId="7" xfId="0" applyNumberFormat="1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2" fontId="0" fillId="0" borderId="0" xfId="0" applyNumberFormat="1"/>
    <xf numFmtId="166" fontId="0" fillId="0" borderId="0" xfId="0" applyNumberFormat="1"/>
    <xf numFmtId="0" fontId="7" fillId="0" borderId="0" xfId="0" applyFont="1"/>
    <xf numFmtId="166" fontId="7" fillId="0" borderId="0" xfId="0" applyNumberFormat="1" applyFont="1"/>
    <xf numFmtId="0" fontId="7" fillId="0" borderId="1" xfId="0" applyFont="1" applyBorder="1"/>
    <xf numFmtId="0" fontId="0" fillId="0" borderId="1" xfId="0" applyBorder="1"/>
    <xf numFmtId="166" fontId="0" fillId="0" borderId="1" xfId="0" applyNumberFormat="1" applyBorder="1"/>
    <xf numFmtId="3" fontId="8" fillId="3" borderId="8" xfId="0" applyNumberFormat="1" applyFont="1" applyFill="1" applyBorder="1" applyAlignment="1">
      <alignment horizontal="right" vertical="top" wrapText="1"/>
    </xf>
    <xf numFmtId="3" fontId="9" fillId="3" borderId="8" xfId="0" applyNumberFormat="1" applyFont="1" applyFill="1" applyBorder="1" applyAlignment="1">
      <alignment horizontal="right" vertical="top" wrapText="1"/>
    </xf>
    <xf numFmtId="3" fontId="8" fillId="2" borderId="8" xfId="0" applyNumberFormat="1" applyFont="1" applyFill="1" applyBorder="1" applyAlignment="1">
      <alignment horizontal="right" vertical="top" wrapText="1"/>
    </xf>
    <xf numFmtId="0" fontId="8" fillId="2" borderId="8" xfId="0" applyFont="1" applyFill="1" applyBorder="1" applyAlignment="1">
      <alignment horizontal="right" vertical="top" wrapText="1"/>
    </xf>
    <xf numFmtId="165" fontId="3" fillId="4" borderId="1" xfId="0" applyNumberFormat="1" applyFont="1" applyFill="1" applyBorder="1" applyAlignment="1">
      <alignment horizontal="left"/>
    </xf>
    <xf numFmtId="165" fontId="3" fillId="5" borderId="9" xfId="0" applyNumberFormat="1" applyFont="1" applyFill="1" applyBorder="1" applyAlignment="1">
      <alignment horizontal="left"/>
    </xf>
    <xf numFmtId="165" fontId="3" fillId="5" borderId="1" xfId="0" applyNumberFormat="1" applyFont="1" applyFill="1" applyBorder="1" applyAlignment="1">
      <alignment horizontal="left"/>
    </xf>
    <xf numFmtId="3" fontId="10" fillId="0" borderId="1" xfId="0" applyNumberFormat="1" applyFont="1" applyBorder="1" applyAlignment="1">
      <alignment vertical="center" wrapText="1"/>
    </xf>
    <xf numFmtId="3" fontId="11" fillId="0" borderId="1" xfId="0" applyNumberFormat="1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3" fontId="10" fillId="4" borderId="1" xfId="0" applyNumberFormat="1" applyFont="1" applyFill="1" applyBorder="1" applyAlignment="1">
      <alignment vertical="center" wrapText="1"/>
    </xf>
    <xf numFmtId="3" fontId="3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left"/>
    </xf>
    <xf numFmtId="167" fontId="10" fillId="0" borderId="1" xfId="0" applyNumberFormat="1" applyFont="1" applyBorder="1" applyAlignment="1">
      <alignment vertical="center" wrapText="1"/>
    </xf>
    <xf numFmtId="167" fontId="10" fillId="4" borderId="1" xfId="0" applyNumberFormat="1" applyFont="1" applyFill="1" applyBorder="1" applyAlignment="1">
      <alignment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42" fontId="3" fillId="0" borderId="2" xfId="1" applyNumberFormat="1" applyFont="1" applyBorder="1" applyAlignment="1">
      <alignment wrapText="1"/>
    </xf>
    <xf numFmtId="42" fontId="3" fillId="0" borderId="4" xfId="1" applyNumberFormat="1" applyFont="1" applyBorder="1" applyAlignment="1">
      <alignment wrapText="1"/>
    </xf>
    <xf numFmtId="0" fontId="0" fillId="6" borderId="0" xfId="0" applyFill="1"/>
    <xf numFmtId="42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37" fontId="0" fillId="0" borderId="1" xfId="0" applyNumberFormat="1" applyBorder="1"/>
    <xf numFmtId="170" fontId="0" fillId="0" borderId="1" xfId="0" applyNumberFormat="1" applyBorder="1"/>
    <xf numFmtId="9" fontId="0" fillId="0" borderId="1" xfId="2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0" fontId="0" fillId="0" borderId="1" xfId="2" applyNumberFormat="1" applyFont="1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0" xfId="0" applyBorder="1"/>
    <xf numFmtId="0" fontId="0" fillId="0" borderId="5" xfId="0" applyBorder="1"/>
    <xf numFmtId="0" fontId="0" fillId="0" borderId="14" xfId="0" applyBorder="1"/>
    <xf numFmtId="0" fontId="0" fillId="0" borderId="0" xfId="0" applyBorder="1"/>
  </cellXfs>
  <cellStyles count="3">
    <cellStyle name="Comma" xfId="1" builtinId="3"/>
    <cellStyle name="Normal" xfId="0" builtinId="0"/>
    <cellStyle name="Percent" xfId="2" builtinId="5"/>
  </cellStyles>
  <dxfs count="21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_(&quot;$&quot;* #,##0_);_(&quot;$&quot;* \(#,##0\);_(&quot;$&quot;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_(&quot;$&quot;* #,##0_);_(&quot;$&quot;* \(#,##0\);_(&quot;$&quot;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_(&quot;$&quot;* #,##0_);_(&quot;$&quot;* \(#,##0\);_(&quot;$&quot;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_(&quot;$&quot;* #,##0_);_(&quot;$&quot;* \(#,##0\);_(&quot;$&quot;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Table2" displayName="Table2" ref="A2:H82" headerRowCount="0" totalsRowShown="0" headerRowDxfId="20" headerRowBorderDxfId="19" tableBorderDxfId="18" totalsRowBorderDxfId="17">
  <tableColumns count="8">
    <tableColumn id="1" name="Column1" headerRowDxfId="16" dataDxfId="15"/>
    <tableColumn id="2" name="Column2" headerRowDxfId="14" dataDxfId="13"/>
    <tableColumn id="3" name="Column3" headerRowDxfId="12" dataDxfId="11"/>
    <tableColumn id="6" name="Column6" headerRowDxfId="10" dataDxfId="9">
      <calculatedColumnFormula>VLOOKUP(B2,'CDKT 2019-2020'!$B$3:$E$80,4,FALSE)</calculatedColumnFormula>
    </tableColumn>
    <tableColumn id="8" name="Column7" headerRowDxfId="8" dataDxfId="7">
      <calculatedColumnFormula>(Table2[[#This Row],[Column5]]-Table2[[#This Row],[Column6]])/Table2[[#This Row],[Column6]]</calculatedColumnFormula>
    </tableColumn>
    <tableColumn id="5" name="Column5" headerRowDxfId="6" dataDxfId="5"/>
    <tableColumn id="10" name="Column8" headerRowDxfId="4" dataDxfId="3">
      <calculatedColumnFormula>(Table2[[#This Row],[Column4]]-Table2[[#This Row],[Column5]])/Table2[[#This Row],[Column5]]</calculatedColumnFormula>
    </tableColumn>
    <tableColumn id="4" name="Column4" headerRowDxfId="2" dataDxfId="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J10" sqref="J10"/>
    </sheetView>
  </sheetViews>
  <sheetFormatPr defaultRowHeight="15.75" x14ac:dyDescent="0.25"/>
  <cols>
    <col min="1" max="1" width="34.7109375" style="6" bestFit="1" customWidth="1"/>
    <col min="2" max="2" width="11.5703125" style="2" customWidth="1"/>
    <col min="3" max="3" width="22.140625" style="2" bestFit="1" customWidth="1"/>
    <col min="4" max="4" width="27.5703125" style="6" bestFit="1" customWidth="1"/>
    <col min="5" max="5" width="27.5703125" style="6" customWidth="1"/>
    <col min="6" max="6" width="26.140625" style="8" bestFit="1" customWidth="1"/>
    <col min="7" max="7" width="26.140625" style="8" customWidth="1"/>
    <col min="8" max="8" width="24" style="8" bestFit="1" customWidth="1"/>
    <col min="10" max="10" width="27.7109375" customWidth="1"/>
    <col min="11" max="11" width="19.5703125" style="6" bestFit="1" customWidth="1"/>
    <col min="12" max="16384" width="9.140625" style="6"/>
  </cols>
  <sheetData>
    <row r="1" spans="1:11" s="10" customFormat="1" ht="42" customHeight="1" x14ac:dyDescent="0.25">
      <c r="A1"/>
      <c r="B1"/>
      <c r="C1"/>
      <c r="D1"/>
      <c r="E1"/>
      <c r="F1"/>
      <c r="G1"/>
      <c r="H1"/>
    </row>
    <row r="2" spans="1:11" ht="31.5" x14ac:dyDescent="0.25">
      <c r="A2" s="70"/>
      <c r="B2" s="12" t="s">
        <v>1</v>
      </c>
      <c r="C2" s="12" t="s">
        <v>2</v>
      </c>
      <c r="D2" s="71" t="s">
        <v>154</v>
      </c>
      <c r="E2" s="96"/>
      <c r="F2" s="28" t="s">
        <v>153</v>
      </c>
      <c r="G2" s="100" t="e">
        <f>(Table2[[#This Row],[Column4]]-Table2[[#This Row],[Column5]])/Table2[[#This Row],[Column5]]</f>
        <v>#VALUE!</v>
      </c>
      <c r="H2" s="28" t="s">
        <v>3</v>
      </c>
      <c r="I2" s="6"/>
      <c r="J2" s="6">
        <v>2018</v>
      </c>
    </row>
    <row r="3" spans="1:11" s="5" customFormat="1" x14ac:dyDescent="0.25">
      <c r="A3" s="59" t="s">
        <v>4</v>
      </c>
      <c r="B3" s="17"/>
      <c r="C3" s="17"/>
      <c r="D3" s="63"/>
      <c r="E3" s="97"/>
      <c r="F3" s="23"/>
      <c r="G3" s="101"/>
      <c r="H3" s="23"/>
    </row>
    <row r="4" spans="1:11" ht="31.5" x14ac:dyDescent="0.25">
      <c r="A4" s="59" t="s">
        <v>5</v>
      </c>
      <c r="B4" s="12">
        <v>100</v>
      </c>
      <c r="C4" s="12"/>
      <c r="D4" s="86">
        <v>30436936909894</v>
      </c>
      <c r="E4" s="98">
        <f>(Table2[[#This Row],[Column5]]-Table2[[#This Row],[Column6]])/Table2[[#This Row],[Column6]]</f>
        <v>0.86442079782881898</v>
      </c>
      <c r="F4" s="37">
        <v>56747258197010</v>
      </c>
      <c r="G4" s="98">
        <f>(Table2[[#This Row],[Column4]]-Table2[[#This Row],[Column5]])/Table2[[#This Row],[Column5]]</f>
        <v>0.65919663151699193</v>
      </c>
      <c r="H4" s="37">
        <v>94154859648304</v>
      </c>
      <c r="I4" s="6"/>
      <c r="K4" s="93"/>
    </row>
    <row r="5" spans="1:11" x14ac:dyDescent="0.25">
      <c r="A5" s="60" t="s">
        <v>6</v>
      </c>
      <c r="B5" s="17">
        <v>110</v>
      </c>
      <c r="C5" s="17">
        <v>6</v>
      </c>
      <c r="D5" s="64">
        <f>VLOOKUP(B5,'CDKT 2019-2020'!$B$3:$E$80,4,FALSE)</f>
        <v>4544900252204</v>
      </c>
      <c r="E5" s="98">
        <f>(Table2[[#This Row],[Column5]]-Table2[[#This Row],[Column6]])/Table2[[#This Row],[Column6]]</f>
        <v>2.0135093265437951</v>
      </c>
      <c r="F5" s="37">
        <v>13696099298228</v>
      </c>
      <c r="G5" s="98">
        <f>(Table2[[#This Row],[Column4]]-Table2[[#This Row],[Column5]])/Table2[[#This Row],[Column5]]</f>
        <v>0.6407135398790037</v>
      </c>
      <c r="H5" s="37">
        <v>22471375562130</v>
      </c>
      <c r="I5" s="6"/>
      <c r="J5" s="86"/>
      <c r="K5" s="93"/>
    </row>
    <row r="6" spans="1:11" x14ac:dyDescent="0.25">
      <c r="A6" s="60" t="s">
        <v>7</v>
      </c>
      <c r="B6" s="17">
        <v>111</v>
      </c>
      <c r="C6" s="17"/>
      <c r="D6" s="64">
        <f>VLOOKUP(B6,'CDKT 2019-2020'!$B$3:$E$80,4,FALSE)</f>
        <v>1678314252204</v>
      </c>
      <c r="E6" s="98">
        <f>(Table2[[#This Row],[Column5]]-Table2[[#This Row],[Column6]])/Table2[[#This Row],[Column6]]</f>
        <v>0.24786779083696595</v>
      </c>
      <c r="F6" s="37">
        <v>2094314298228</v>
      </c>
      <c r="G6" s="98">
        <f>(Table2[[#This Row],[Column4]]-Table2[[#This Row],[Column5]])/Table2[[#This Row],[Column5]]</f>
        <v>2.0159272998585851</v>
      </c>
      <c r="H6" s="37">
        <v>6316299666510</v>
      </c>
      <c r="I6" s="6"/>
      <c r="J6" s="87"/>
      <c r="K6" s="93"/>
    </row>
    <row r="7" spans="1:11" s="5" customFormat="1" x14ac:dyDescent="0.25">
      <c r="A7" s="60" t="s">
        <v>8</v>
      </c>
      <c r="B7" s="17">
        <v>112</v>
      </c>
      <c r="C7" s="17"/>
      <c r="D7" s="64">
        <f>VLOOKUP(B7,'CDKT 2019-2020'!$B$3:$E$80,4,FALSE)</f>
        <v>2866586000000</v>
      </c>
      <c r="E7" s="98">
        <f>(Table2[[#This Row],[Column5]]-Table2[[#This Row],[Column6]])/Table2[[#This Row],[Column6]]</f>
        <v>3.047248190007207</v>
      </c>
      <c r="F7" s="37">
        <v>11601785000000</v>
      </c>
      <c r="G7" s="98">
        <f>(Table2[[#This Row],[Column4]]-Table2[[#This Row],[Column5]])/Table2[[#This Row],[Column5]]</f>
        <v>0.39246468501355608</v>
      </c>
      <c r="H7" s="37">
        <v>16155075895620</v>
      </c>
      <c r="J7" s="87"/>
      <c r="K7" s="93"/>
    </row>
    <row r="8" spans="1:11" x14ac:dyDescent="0.25">
      <c r="A8" s="59" t="s">
        <v>9</v>
      </c>
      <c r="B8" s="12">
        <v>120</v>
      </c>
      <c r="C8" s="12"/>
      <c r="D8" s="64">
        <f>VLOOKUP(B8,'CDKT 2019-2020'!$B$3:$E$80,4,FALSE)</f>
        <v>1374340352910</v>
      </c>
      <c r="E8" s="98">
        <f>(Table2[[#This Row],[Column5]]-Table2[[#This Row],[Column6]])/Table2[[#This Row],[Column6]]</f>
        <v>4.9133770307857674</v>
      </c>
      <c r="F8" s="37">
        <v>8126992675380</v>
      </c>
      <c r="G8" s="98">
        <f>(Table2[[#This Row],[Column4]]-Table2[[#This Row],[Column5]])/Table2[[#This Row],[Column5]]</f>
        <v>1.2438992311784407</v>
      </c>
      <c r="H8" s="37">
        <v>18236152616078</v>
      </c>
      <c r="I8" s="6"/>
      <c r="J8" s="86"/>
      <c r="K8" s="93"/>
    </row>
    <row r="9" spans="1:11" s="5" customFormat="1" x14ac:dyDescent="0.25">
      <c r="A9" s="60" t="s">
        <v>12</v>
      </c>
      <c r="B9" s="17">
        <v>123</v>
      </c>
      <c r="C9" s="17">
        <v>7</v>
      </c>
      <c r="D9" s="64">
        <f>VLOOKUP(B9,'CDKT 2019-2020'!$B$3:$E$80,4,FALSE)</f>
        <v>1374340352910</v>
      </c>
      <c r="E9" s="98">
        <f>(Table2[[#This Row],[Column5]]-Table2[[#This Row],[Column6]])/Table2[[#This Row],[Column6]]</f>
        <v>4.9133770307857674</v>
      </c>
      <c r="F9" s="37">
        <v>8126992675380</v>
      </c>
      <c r="G9" s="98">
        <f>(Table2[[#This Row],[Column4]]-Table2[[#This Row],[Column5]])/Table2[[#This Row],[Column5]]</f>
        <v>1.2438992311784407</v>
      </c>
      <c r="H9" s="37">
        <v>18236152616078</v>
      </c>
      <c r="J9" s="87"/>
      <c r="K9" s="93"/>
    </row>
    <row r="10" spans="1:11" x14ac:dyDescent="0.25">
      <c r="A10" s="59" t="s">
        <v>11</v>
      </c>
      <c r="B10" s="12">
        <v>130</v>
      </c>
      <c r="C10" s="12"/>
      <c r="D10" s="64">
        <f>VLOOKUP(B10,'CDKT 2019-2020'!$B$3:$E$80,4,FALSE)</f>
        <v>3561397190688</v>
      </c>
      <c r="E10" s="98">
        <f>(Table2[[#This Row],[Column5]]-Table2[[#This Row],[Column6]])/Table2[[#This Row],[Column6]]</f>
        <v>0.719771800883517</v>
      </c>
      <c r="F10" s="37">
        <v>6124790460291</v>
      </c>
      <c r="G10" s="98">
        <f>(Table2[[#This Row],[Column4]]-Table2[[#This Row],[Column5]])/Table2[[#This Row],[Column5]]</f>
        <v>0.25109272657156861</v>
      </c>
      <c r="H10" s="37">
        <v>7662680796645</v>
      </c>
      <c r="I10" s="6"/>
      <c r="J10" s="83">
        <v>4020666000000</v>
      </c>
      <c r="K10" s="93"/>
    </row>
    <row r="11" spans="1:11" x14ac:dyDescent="0.25">
      <c r="A11" s="60" t="s">
        <v>10</v>
      </c>
      <c r="B11" s="17">
        <v>131</v>
      </c>
      <c r="C11" s="17"/>
      <c r="D11" s="64">
        <f>VLOOKUP(B11,'CDKT 2019-2020'!$B$3:$E$80,4,FALSE)</f>
        <v>2699937350329</v>
      </c>
      <c r="E11" s="98">
        <f>(Table2[[#This Row],[Column5]]-Table2[[#This Row],[Column6]])/Table2[[#This Row],[Column6]]</f>
        <v>0.46280688430371786</v>
      </c>
      <c r="F11" s="37">
        <v>3949486943250</v>
      </c>
      <c r="G11" s="98">
        <f>(Table2[[#This Row],[Column4]]-Table2[[#This Row],[Column5]])/Table2[[#This Row],[Column5]]</f>
        <v>0.25917511408473753</v>
      </c>
      <c r="H11" s="37">
        <v>4973095672343</v>
      </c>
      <c r="I11" s="6"/>
      <c r="J11" s="87"/>
      <c r="K11" s="93"/>
    </row>
    <row r="12" spans="1:11" x14ac:dyDescent="0.25">
      <c r="A12" s="60" t="s">
        <v>17</v>
      </c>
      <c r="B12" s="17">
        <v>132</v>
      </c>
      <c r="C12" s="17">
        <v>8</v>
      </c>
      <c r="D12" s="64">
        <f>VLOOKUP(B12,'CDKT 2019-2020'!$B$3:$E$80,4,FALSE)</f>
        <v>757832561191</v>
      </c>
      <c r="E12" s="98">
        <f>(Table2[[#This Row],[Column5]]-Table2[[#This Row],[Column6]])/Table2[[#This Row],[Column6]]</f>
        <v>0.71942709057151399</v>
      </c>
      <c r="F12" s="37">
        <v>1303037835829</v>
      </c>
      <c r="G12" s="98">
        <f>(Table2[[#This Row],[Column4]]-Table2[[#This Row],[Column5]])/Table2[[#This Row],[Column5]]</f>
        <v>0.32181259509031629</v>
      </c>
      <c r="H12" s="37">
        <v>1722371823278</v>
      </c>
      <c r="I12" s="6"/>
      <c r="J12" s="87"/>
      <c r="K12" s="93"/>
    </row>
    <row r="13" spans="1:11" x14ac:dyDescent="0.25">
      <c r="A13" s="60" t="s">
        <v>22</v>
      </c>
      <c r="B13" s="17">
        <v>135</v>
      </c>
      <c r="C13" s="17"/>
      <c r="D13" s="64" t="s">
        <v>0</v>
      </c>
      <c r="E13" s="98"/>
      <c r="F13" s="37" t="s">
        <v>0</v>
      </c>
      <c r="G13" s="98"/>
      <c r="H13" s="37">
        <v>23521740500</v>
      </c>
      <c r="I13" s="6"/>
      <c r="K13" s="93"/>
    </row>
    <row r="14" spans="1:11" x14ac:dyDescent="0.25">
      <c r="A14" s="60" t="s">
        <v>23</v>
      </c>
      <c r="B14" s="17">
        <v>136</v>
      </c>
      <c r="C14" s="17">
        <v>9.1</v>
      </c>
      <c r="D14" s="64">
        <f>VLOOKUP(B14,'CDKT 2019-2020'!$B$3:$E$80,4,FALSE)</f>
        <v>139273246353</v>
      </c>
      <c r="E14" s="98">
        <f>(Table2[[#This Row],[Column5]]-Table2[[#This Row],[Column6]])/Table2[[#This Row],[Column6]]</f>
        <v>5.5365425629815537</v>
      </c>
      <c r="F14" s="37">
        <v>910365502671</v>
      </c>
      <c r="G14" s="98">
        <f>(Table2[[#This Row],[Column4]]-Table2[[#This Row],[Column5]])/Table2[[#This Row],[Column5]]</f>
        <v>7.8466905816855864E-2</v>
      </c>
      <c r="H14" s="37">
        <v>981799066828</v>
      </c>
      <c r="I14" s="6"/>
      <c r="J14" s="87"/>
      <c r="K14" s="93"/>
    </row>
    <row r="15" spans="1:11" ht="31.5" x14ac:dyDescent="0.25">
      <c r="A15" s="60" t="s">
        <v>18</v>
      </c>
      <c r="B15" s="17">
        <v>137</v>
      </c>
      <c r="C15" s="17"/>
      <c r="D15" s="64">
        <f>VLOOKUP(B15,'CDKT 2019-2020'!$B$3:$E$80,4,FALSE)</f>
        <v>-37145790132</v>
      </c>
      <c r="E15" s="98">
        <f>(Table2[[#This Row],[Column5]]-Table2[[#This Row],[Column6]])/Table2[[#This Row],[Column6]]</f>
        <v>5.89678525134677E-2</v>
      </c>
      <c r="F15" s="37">
        <v>-39336197606</v>
      </c>
      <c r="G15" s="98">
        <f>(Table2[[#This Row],[Column4]]-Table2[[#This Row],[Column5]])/Table2[[#This Row],[Column5]]</f>
        <v>-1.5514830541397092E-3</v>
      </c>
      <c r="H15" s="37">
        <v>-39275168162</v>
      </c>
      <c r="I15" s="6"/>
      <c r="J15" s="87"/>
      <c r="K15" s="93"/>
    </row>
    <row r="16" spans="1:11" s="5" customFormat="1" x14ac:dyDescent="0.25">
      <c r="A16" s="60" t="s">
        <v>19</v>
      </c>
      <c r="B16" s="17">
        <v>139</v>
      </c>
      <c r="C16" s="17"/>
      <c r="D16" s="64">
        <f>VLOOKUP(B16,'CDKT 2019-2020'!$B$3:$E$80,4,FALSE)</f>
        <v>1499822947</v>
      </c>
      <c r="E16" s="98">
        <f>(Table2[[#This Row],[Column5]]-Table2[[#This Row],[Column6]])/Table2[[#This Row],[Column6]]</f>
        <v>-0.17565193313447816</v>
      </c>
      <c r="F16" s="37">
        <v>1236376147</v>
      </c>
      <c r="G16" s="98">
        <f>(Table2[[#This Row],[Column4]]-Table2[[#This Row],[Column5]])/Table2[[#This Row],[Column5]]</f>
        <v>-5.5577171370324085E-2</v>
      </c>
      <c r="H16" s="37">
        <v>1167661858</v>
      </c>
      <c r="J16" s="87"/>
      <c r="K16" s="93"/>
    </row>
    <row r="17" spans="1:11" x14ac:dyDescent="0.25">
      <c r="A17" s="59" t="s">
        <v>24</v>
      </c>
      <c r="B17" s="12">
        <v>140</v>
      </c>
      <c r="C17" s="12">
        <v>10</v>
      </c>
      <c r="D17" s="64">
        <f>VLOOKUP(B17,'CDKT 2019-2020'!$B$3:$E$80,4,FALSE)</f>
        <v>19411922748095</v>
      </c>
      <c r="E17" s="98">
        <f>(Table2[[#This Row],[Column5]]-Table2[[#This Row],[Column6]])/Table2[[#This Row],[Column6]]</f>
        <v>0.35415860501411034</v>
      </c>
      <c r="F17" s="37">
        <v>26286822229202</v>
      </c>
      <c r="G17" s="98">
        <f>(Table2[[#This Row],[Column4]]-Table2[[#This Row],[Column5]])/Table2[[#This Row],[Column5]]</f>
        <v>0.60287514271705467</v>
      </c>
      <c r="H17" s="37">
        <v>42134493932210</v>
      </c>
      <c r="I17" s="6"/>
      <c r="J17" s="86">
        <v>14115139000000</v>
      </c>
      <c r="K17" s="93"/>
    </row>
    <row r="18" spans="1:11" x14ac:dyDescent="0.25">
      <c r="A18" s="60" t="s">
        <v>24</v>
      </c>
      <c r="B18" s="17">
        <v>141</v>
      </c>
      <c r="C18" s="17"/>
      <c r="D18" s="64">
        <f>VLOOKUP(B18,'CDKT 2019-2020'!$B$3:$E$80,4,FALSE)</f>
        <v>19480666530260</v>
      </c>
      <c r="E18" s="98">
        <f>(Table2[[#This Row],[Column5]]-Table2[[#This Row],[Column6]])/Table2[[#This Row],[Column6]]</f>
        <v>0.35382230304190759</v>
      </c>
      <c r="F18" s="37">
        <v>26373360826788</v>
      </c>
      <c r="G18" s="98">
        <f>(Table2[[#This Row],[Column4]]-Table2[[#This Row],[Column5]])/Table2[[#This Row],[Column5]]</f>
        <v>0.60654581279257558</v>
      </c>
      <c r="H18" s="37">
        <v>42370012405544</v>
      </c>
      <c r="I18" s="6"/>
      <c r="J18" s="87"/>
      <c r="K18" s="93"/>
    </row>
    <row r="19" spans="1:11" s="5" customFormat="1" x14ac:dyDescent="0.25">
      <c r="A19" s="60" t="s">
        <v>144</v>
      </c>
      <c r="B19" s="17">
        <v>149</v>
      </c>
      <c r="C19" s="17"/>
      <c r="D19" s="64">
        <f>VLOOKUP(B19,'CDKT 2019-2020'!$B$3:$E$80,4,FALSE)</f>
        <v>-68743782165</v>
      </c>
      <c r="E19" s="98">
        <f>(Table2[[#This Row],[Column5]]-Table2[[#This Row],[Column6]])/Table2[[#This Row],[Column6]]</f>
        <v>0.25885709020618886</v>
      </c>
      <c r="F19" s="37">
        <v>-86538597586</v>
      </c>
      <c r="G19" s="98">
        <f>(Table2[[#This Row],[Column4]]-Table2[[#This Row],[Column5]])/Table2[[#This Row],[Column5]]</f>
        <v>1.7215425244203586</v>
      </c>
      <c r="H19" s="37">
        <v>-235518473334</v>
      </c>
      <c r="J19" s="87"/>
      <c r="K19" s="93"/>
    </row>
    <row r="20" spans="1:11" x14ac:dyDescent="0.25">
      <c r="A20" s="59" t="s">
        <v>16</v>
      </c>
      <c r="B20" s="12">
        <v>150</v>
      </c>
      <c r="C20" s="12"/>
      <c r="D20" s="64">
        <f>VLOOKUP(B20,'CDKT 2019-2020'!$B$3:$E$80,4,FALSE)</f>
        <v>1544376365997</v>
      </c>
      <c r="E20" s="98">
        <f>(Table2[[#This Row],[Column5]]-Table2[[#This Row],[Column6]])/Table2[[#This Row],[Column6]]</f>
        <v>0.62690493666482383</v>
      </c>
      <c r="F20" s="37">
        <v>2512553533909</v>
      </c>
      <c r="G20" s="98">
        <f>(Table2[[#This Row],[Column4]]-Table2[[#This Row],[Column5]])/Table2[[#This Row],[Column5]]</f>
        <v>0.45276774881772602</v>
      </c>
      <c r="H20" s="37">
        <v>3650156741241</v>
      </c>
      <c r="I20" s="6"/>
      <c r="J20" s="86"/>
      <c r="K20" s="93"/>
    </row>
    <row r="21" spans="1:11" x14ac:dyDescent="0.25">
      <c r="A21" s="60" t="s">
        <v>15</v>
      </c>
      <c r="B21" s="17">
        <v>151</v>
      </c>
      <c r="C21" s="17">
        <v>17.100000000000001</v>
      </c>
      <c r="D21" s="64">
        <f>VLOOKUP(B21,'CDKT 2019-2020'!$B$3:$E$80,4,FALSE)</f>
        <v>118551289085</v>
      </c>
      <c r="E21" s="98">
        <f>(Table2[[#This Row],[Column5]]-Table2[[#This Row],[Column6]])/Table2[[#This Row],[Column6]]</f>
        <v>0.19271623185488199</v>
      </c>
      <c r="F21" s="37">
        <v>141398046799</v>
      </c>
      <c r="G21" s="98">
        <f>(Table2[[#This Row],[Column4]]-Table2[[#This Row],[Column5]])/Table2[[#This Row],[Column5]]</f>
        <v>1.09831291921423</v>
      </c>
      <c r="H21" s="37">
        <v>296697348350</v>
      </c>
      <c r="I21" s="6"/>
      <c r="J21" s="87"/>
      <c r="K21" s="93"/>
    </row>
    <row r="22" spans="1:11" x14ac:dyDescent="0.25">
      <c r="A22" s="60" t="s">
        <v>13</v>
      </c>
      <c r="B22" s="17">
        <v>152</v>
      </c>
      <c r="C22" s="17"/>
      <c r="D22" s="64">
        <f>VLOOKUP(B22,'CDKT 2019-2020'!$B$3:$E$80,4,FALSE)</f>
        <v>1400159900793</v>
      </c>
      <c r="E22" s="98">
        <f>(Table2[[#This Row],[Column5]]-Table2[[#This Row],[Column6]])/Table2[[#This Row],[Column6]]</f>
        <v>0.68362105197762668</v>
      </c>
      <c r="F22" s="37">
        <v>2357338685110</v>
      </c>
      <c r="G22" s="98">
        <f>(Table2[[#This Row],[Column4]]-Table2[[#This Row],[Column5]])/Table2[[#This Row],[Column5]]</f>
        <v>0.41502376026563503</v>
      </c>
      <c r="H22" s="37">
        <v>3335690250424</v>
      </c>
      <c r="I22" s="6"/>
      <c r="J22" s="87"/>
      <c r="K22" s="93"/>
    </row>
    <row r="23" spans="1:11" s="5" customFormat="1" x14ac:dyDescent="0.25">
      <c r="A23" s="60" t="s">
        <v>14</v>
      </c>
      <c r="B23" s="17">
        <v>153</v>
      </c>
      <c r="C23" s="17">
        <v>21</v>
      </c>
      <c r="D23" s="64">
        <f>VLOOKUP(B23,'CDKT 2019-2020'!$B$3:$E$80,4,FALSE)</f>
        <v>25665176119</v>
      </c>
      <c r="E23" s="98">
        <f>(Table2[[#This Row],[Column5]]-Table2[[#This Row],[Column6]])/Table2[[#This Row],[Column6]]</f>
        <v>-0.46165177531077278</v>
      </c>
      <c r="F23" s="37">
        <v>13816802000</v>
      </c>
      <c r="G23" s="98">
        <f>(Table2[[#This Row],[Column4]]-Table2[[#This Row],[Column5]])/Table2[[#This Row],[Column5]]</f>
        <v>0.28605320297707099</v>
      </c>
      <c r="H23" s="37">
        <v>17769142467</v>
      </c>
      <c r="J23" s="88"/>
      <c r="K23" s="93"/>
    </row>
    <row r="24" spans="1:11" s="5" customFormat="1" ht="47.25" x14ac:dyDescent="0.25">
      <c r="A24" s="59" t="s">
        <v>21</v>
      </c>
      <c r="B24" s="12">
        <v>200</v>
      </c>
      <c r="C24" s="12"/>
      <c r="D24" s="64">
        <f>VLOOKUP(B24,'CDKT 2019-2020'!$B$3:$E$80,4,FALSE)</f>
        <v>71339093190006</v>
      </c>
      <c r="E24" s="98">
        <f>(Table2[[#This Row],[Column5]]-Table2[[#This Row],[Column6]])/Table2[[#This Row],[Column6]]</f>
        <v>4.8011305564237605E-2</v>
      </c>
      <c r="F24" s="37">
        <v>74764176191827</v>
      </c>
      <c r="G24" s="98">
        <f>(Table2[[#This Row],[Column4]]-Table2[[#This Row],[Column5]])/Table2[[#This Row],[Column5]]</f>
        <v>0.12462367664176241</v>
      </c>
      <c r="H24" s="37">
        <v>84081562709945</v>
      </c>
      <c r="J24" s="86"/>
      <c r="K24" s="93"/>
    </row>
    <row r="25" spans="1:11" x14ac:dyDescent="0.25">
      <c r="A25" s="61" t="s">
        <v>25</v>
      </c>
      <c r="B25" s="12">
        <v>210</v>
      </c>
      <c r="C25" s="12"/>
      <c r="D25" s="64">
        <f>VLOOKUP(B25,'CDKT 2019-2020'!$B$3:$E$80,4,FALSE)</f>
        <v>27717594984</v>
      </c>
      <c r="E25" s="98">
        <f>(Table2[[#This Row],[Column5]]-Table2[[#This Row],[Column6]])/Table2[[#This Row],[Column6]]</f>
        <v>10.009813355276929</v>
      </c>
      <c r="F25" s="37">
        <v>305165547431</v>
      </c>
      <c r="G25" s="98">
        <f>(Table2[[#This Row],[Column4]]-Table2[[#This Row],[Column5]])/Table2[[#This Row],[Column5]]</f>
        <v>1.651790003103065</v>
      </c>
      <c r="H25" s="37">
        <v>809234947969</v>
      </c>
      <c r="I25" s="6"/>
      <c r="J25" s="86"/>
      <c r="K25" s="93"/>
    </row>
    <row r="26" spans="1:11" x14ac:dyDescent="0.25">
      <c r="A26" s="60" t="s">
        <v>146</v>
      </c>
      <c r="B26" s="17">
        <v>215</v>
      </c>
      <c r="C26" s="17">
        <v>11</v>
      </c>
      <c r="D26" s="64">
        <f>VLOOKUP(B26,'CDKT 2019-2020'!$B$3:$E$80,4,FALSE)</f>
        <v>4910346000</v>
      </c>
      <c r="E26" s="98">
        <f>(Table2[[#This Row],[Column5]]-Table2[[#This Row],[Column6]])/Table2[[#This Row],[Column6]]</f>
        <v>18.552031323250947</v>
      </c>
      <c r="F26" s="37">
        <v>96007238800</v>
      </c>
      <c r="G26" s="98">
        <f>(Table2[[#This Row],[Column4]]-Table2[[#This Row],[Column5]])/Table2[[#This Row],[Column5]]</f>
        <v>0.23325460413095433</v>
      </c>
      <c r="H26" s="37">
        <v>118401369280</v>
      </c>
      <c r="I26" s="6"/>
      <c r="J26" s="87"/>
      <c r="K26" s="93"/>
    </row>
    <row r="27" spans="1:11" s="5" customFormat="1" x14ac:dyDescent="0.25">
      <c r="A27" s="60" t="s">
        <v>26</v>
      </c>
      <c r="B27" s="17">
        <v>216</v>
      </c>
      <c r="C27" s="17">
        <v>9.1999999999999993</v>
      </c>
      <c r="D27" s="64">
        <f>VLOOKUP(B27,'CDKT 2019-2020'!$B$3:$E$80,4,FALSE)</f>
        <v>22807248984</v>
      </c>
      <c r="E27" s="98">
        <f>(Table2[[#This Row],[Column5]]-Table2[[#This Row],[Column6]])/Table2[[#This Row],[Column6]]</f>
        <v>8.1706943164311969</v>
      </c>
      <c r="F27" s="37">
        <v>209158308631</v>
      </c>
      <c r="G27" s="98">
        <f>(Table2[[#This Row],[Column4]]-Table2[[#This Row],[Column5]])/Table2[[#This Row],[Column5]]</f>
        <v>2.3029219982256515</v>
      </c>
      <c r="H27" s="37">
        <v>690833578689</v>
      </c>
      <c r="J27" s="87"/>
      <c r="K27" s="93"/>
    </row>
    <row r="28" spans="1:11" x14ac:dyDescent="0.25">
      <c r="A28" s="59" t="s">
        <v>27</v>
      </c>
      <c r="B28" s="12">
        <v>220</v>
      </c>
      <c r="C28" s="12"/>
      <c r="D28" s="64">
        <f>VLOOKUP(B28,'CDKT 2019-2020'!$B$3:$E$80,4,FALSE)</f>
        <v>31249493917960</v>
      </c>
      <c r="E28" s="98">
        <f>(Table2[[#This Row],[Column5]]-Table2[[#This Row],[Column6]])/Table2[[#This Row],[Column6]]</f>
        <v>1.0980070062016842</v>
      </c>
      <c r="F28" s="37">
        <v>65561657180137</v>
      </c>
      <c r="G28" s="98">
        <f>(Table2[[#This Row],[Column4]]-Table2[[#This Row],[Column5]])/Table2[[#This Row],[Column5]]</f>
        <v>5.6728044467335231E-2</v>
      </c>
      <c r="H28" s="37">
        <v>69280841784004</v>
      </c>
      <c r="I28" s="6"/>
      <c r="J28" s="86"/>
      <c r="K28" s="93"/>
    </row>
    <row r="29" spans="1:11" x14ac:dyDescent="0.25">
      <c r="A29" s="60" t="s">
        <v>28</v>
      </c>
      <c r="B29" s="17">
        <v>221</v>
      </c>
      <c r="C29" s="17">
        <v>12</v>
      </c>
      <c r="D29" s="64">
        <f>VLOOKUP(B29,'CDKT 2019-2020'!$B$3:$E$80,4,FALSE)</f>
        <v>30980122434704</v>
      </c>
      <c r="E29" s="98">
        <f>(Table2[[#This Row],[Column5]]-Table2[[#This Row],[Column6]])/Table2[[#This Row],[Column6]]</f>
        <v>1.1080555770943319</v>
      </c>
      <c r="F29" s="37">
        <v>65307819877543</v>
      </c>
      <c r="G29" s="98">
        <f>(Table2[[#This Row],[Column4]]-Table2[[#This Row],[Column5]])/Table2[[#This Row],[Column5]]</f>
        <v>5.2617068951456784E-2</v>
      </c>
      <c r="H29" s="37">
        <v>68744125939109</v>
      </c>
      <c r="I29" s="6"/>
      <c r="J29" s="87"/>
      <c r="K29" s="93"/>
    </row>
    <row r="30" spans="1:11" x14ac:dyDescent="0.25">
      <c r="A30" s="60" t="s">
        <v>29</v>
      </c>
      <c r="B30" s="17">
        <v>222</v>
      </c>
      <c r="C30" s="17"/>
      <c r="D30" s="64">
        <f>VLOOKUP(B30,'CDKT 2019-2020'!$B$3:$E$80,4,FALSE)</f>
        <v>43804940121895</v>
      </c>
      <c r="E30" s="98">
        <f>(Table2[[#This Row],[Column5]]-Table2[[#This Row],[Column6]])/Table2[[#This Row],[Column6]]</f>
        <v>0.88601104962323163</v>
      </c>
      <c r="F30" s="37">
        <v>82616601097978</v>
      </c>
      <c r="G30" s="98">
        <f>(Table2[[#This Row],[Column4]]-Table2[[#This Row],[Column5]])/Table2[[#This Row],[Column5]]</f>
        <v>0.10178952896798388</v>
      </c>
      <c r="H30" s="37">
        <v>91026106008677</v>
      </c>
      <c r="I30" s="6"/>
      <c r="J30" s="87"/>
      <c r="K30" s="93"/>
    </row>
    <row r="31" spans="1:11" x14ac:dyDescent="0.25">
      <c r="A31" s="60" t="s">
        <v>30</v>
      </c>
      <c r="B31" s="17">
        <v>223</v>
      </c>
      <c r="C31" s="17"/>
      <c r="D31" s="64">
        <f>VLOOKUP(B31,'CDKT 2019-2020'!$B$3:$E$80,4,FALSE)</f>
        <v>-12824817687191</v>
      </c>
      <c r="E31" s="98">
        <f>(Table2[[#This Row],[Column5]]-Table2[[#This Row],[Column6]])/Table2[[#This Row],[Column6]]</f>
        <v>-2.3496317563814131</v>
      </c>
      <c r="F31" s="37">
        <v>17308781220435</v>
      </c>
      <c r="G31" s="98">
        <f>(Table2[[#This Row],[Column4]]-Table2[[#This Row],[Column5]])/Table2[[#This Row],[Column5]]</f>
        <v>-2.2873223010792678</v>
      </c>
      <c r="H31" s="37">
        <v>-22281980069568</v>
      </c>
      <c r="I31" s="6"/>
      <c r="J31" s="87"/>
      <c r="K31" s="93"/>
    </row>
    <row r="32" spans="1:11" x14ac:dyDescent="0.25">
      <c r="A32" s="60" t="s">
        <v>31</v>
      </c>
      <c r="B32" s="17">
        <v>227</v>
      </c>
      <c r="C32" s="17">
        <v>13</v>
      </c>
      <c r="D32" s="64">
        <f>VLOOKUP(B32,'CDKT 2019-2020'!$B$3:$E$80,4,FALSE)</f>
        <v>269371483256</v>
      </c>
      <c r="E32" s="98">
        <f>(Table2[[#This Row],[Column5]]-Table2[[#This Row],[Column6]])/Table2[[#This Row],[Column6]]</f>
        <v>-5.7668244887068947E-2</v>
      </c>
      <c r="F32" s="37">
        <v>253837302594</v>
      </c>
      <c r="G32" s="98">
        <f>(Table2[[#This Row],[Column4]]-Table2[[#This Row],[Column5]])/Table2[[#This Row],[Column5]]</f>
        <v>1.1144088729679342</v>
      </c>
      <c r="H32" s="37">
        <v>536715844895</v>
      </c>
      <c r="I32" s="6"/>
      <c r="J32" s="87"/>
      <c r="K32" s="93"/>
    </row>
    <row r="33" spans="1:11" x14ac:dyDescent="0.25">
      <c r="A33" s="60" t="s">
        <v>29</v>
      </c>
      <c r="B33" s="17">
        <v>228</v>
      </c>
      <c r="C33" s="17"/>
      <c r="D33" s="64">
        <f>VLOOKUP(B33,'CDKT 2019-2020'!$B$3:$E$80,4,FALSE)</f>
        <v>339570963463</v>
      </c>
      <c r="E33" s="98">
        <f>(Table2[[#This Row],[Column5]]-Table2[[#This Row],[Column6]])/Table2[[#This Row],[Column6]]</f>
        <v>1.0084241832924319E-2</v>
      </c>
      <c r="F33" s="37">
        <v>342995279178</v>
      </c>
      <c r="G33" s="98">
        <f>(Table2[[#This Row],[Column4]]-Table2[[#This Row],[Column5]])/Table2[[#This Row],[Column5]]</f>
        <v>0.80271186496743963</v>
      </c>
      <c r="H33" s="37">
        <v>618321659402</v>
      </c>
      <c r="I33" s="6"/>
      <c r="J33" s="87"/>
      <c r="K33" s="93"/>
    </row>
    <row r="34" spans="1:11" s="5" customFormat="1" x14ac:dyDescent="0.25">
      <c r="A34" s="60" t="s">
        <v>20</v>
      </c>
      <c r="B34" s="17">
        <v>229</v>
      </c>
      <c r="C34" s="17"/>
      <c r="D34" s="64">
        <f>VLOOKUP(B34,'CDKT 2019-2020'!$B$3:$E$80,4,FALSE)</f>
        <v>-70199480207</v>
      </c>
      <c r="E34" s="98">
        <f>(Table2[[#This Row],[Column5]]-Table2[[#This Row],[Column6]])/Table2[[#This Row],[Column6]]</f>
        <v>0.27006605064733141</v>
      </c>
      <c r="F34" s="37">
        <v>-89157976584</v>
      </c>
      <c r="G34" s="98">
        <f>(Table2[[#This Row],[Column4]]-Table2[[#This Row],[Column5]])/Table2[[#This Row],[Column5]]</f>
        <v>-8.470540008144696E-2</v>
      </c>
      <c r="H34" s="37">
        <v>-81605814507</v>
      </c>
      <c r="J34" s="87"/>
      <c r="K34" s="93"/>
    </row>
    <row r="35" spans="1:11" x14ac:dyDescent="0.25">
      <c r="A35" s="59" t="s">
        <v>33</v>
      </c>
      <c r="B35" s="12">
        <v>230</v>
      </c>
      <c r="C35" s="12">
        <v>14</v>
      </c>
      <c r="D35" s="64">
        <f>VLOOKUP(B35,'CDKT 2019-2020'!$B$3:$E$80,4,FALSE)</f>
        <v>576616510917</v>
      </c>
      <c r="E35" s="98">
        <f>(Table2[[#This Row],[Column5]]-Table2[[#This Row],[Column6]])/Table2[[#This Row],[Column6]]</f>
        <v>-2.1365217406640151E-2</v>
      </c>
      <c r="F35" s="37">
        <v>564296973801</v>
      </c>
      <c r="G35" s="98">
        <f>(Table2[[#This Row],[Column4]]-Table2[[#This Row],[Column5]])/Table2[[#This Row],[Column5]]</f>
        <v>-2.8506654164111862E-2</v>
      </c>
      <c r="H35" s="37">
        <v>548210755123</v>
      </c>
      <c r="I35" s="6"/>
      <c r="J35" s="86"/>
      <c r="K35" s="93"/>
    </row>
    <row r="36" spans="1:11" x14ac:dyDescent="0.25">
      <c r="A36" s="60" t="s">
        <v>29</v>
      </c>
      <c r="B36" s="17">
        <v>231</v>
      </c>
      <c r="C36" s="17"/>
      <c r="D36" s="64">
        <f>VLOOKUP(B36,'CDKT 2019-2020'!$B$3:$E$80,4,FALSE)</f>
        <v>663239742390</v>
      </c>
      <c r="E36" s="98">
        <f>(Table2[[#This Row],[Column5]]-Table2[[#This Row],[Column6]])/Table2[[#This Row],[Column6]]</f>
        <v>2.8183025188814183E-2</v>
      </c>
      <c r="F36" s="37">
        <v>681931844756</v>
      </c>
      <c r="G36" s="98">
        <f>(Table2[[#This Row],[Column4]]-Table2[[#This Row],[Column5]])/Table2[[#This Row],[Column5]]</f>
        <v>2.4765378956665019E-2</v>
      </c>
      <c r="H36" s="37">
        <v>698820145314</v>
      </c>
      <c r="I36" s="6"/>
      <c r="J36" s="87"/>
      <c r="K36" s="93"/>
    </row>
    <row r="37" spans="1:11" s="5" customFormat="1" x14ac:dyDescent="0.25">
      <c r="A37" s="60" t="s">
        <v>30</v>
      </c>
      <c r="B37" s="17">
        <v>232</v>
      </c>
      <c r="C37" s="17"/>
      <c r="D37" s="64">
        <f>VLOOKUP(B37,'CDKT 2019-2020'!$B$3:$E$80,4,FALSE)</f>
        <v>-86623231473</v>
      </c>
      <c r="E37" s="98">
        <f>(Table2[[#This Row],[Column5]]-Table2[[#This Row],[Column6]])/Table2[[#This Row],[Column6]]</f>
        <v>0.35800603319291041</v>
      </c>
      <c r="F37" s="37">
        <v>-117634870955</v>
      </c>
      <c r="G37" s="98">
        <f>(Table2[[#This Row],[Column4]]-Table2[[#This Row],[Column5]])/Table2[[#This Row],[Column5]]</f>
        <v>0.28031245300225693</v>
      </c>
      <c r="H37" s="37">
        <v>-150609390191</v>
      </c>
      <c r="J37" s="87"/>
      <c r="K37" s="93"/>
    </row>
    <row r="38" spans="1:11" x14ac:dyDescent="0.25">
      <c r="A38" s="59" t="s">
        <v>35</v>
      </c>
      <c r="B38" s="12">
        <v>240</v>
      </c>
      <c r="C38" s="12"/>
      <c r="D38" s="64">
        <f>VLOOKUP(B38,'CDKT 2019-2020'!$B$3:$E$80,4,FALSE)</f>
        <v>37435320467014</v>
      </c>
      <c r="E38" s="98">
        <f>(Table2[[#This Row],[Column5]]-Table2[[#This Row],[Column6]])/Table2[[#This Row],[Column6]]</f>
        <v>-0.83311980693477139</v>
      </c>
      <c r="F38" s="37">
        <v>6247213506994</v>
      </c>
      <c r="G38" s="98">
        <f>(Table2[[#This Row],[Column4]]-Table2[[#This Row],[Column5]])/Table2[[#This Row],[Column5]]</f>
        <v>0.55248406139071871</v>
      </c>
      <c r="H38" s="37">
        <v>9698699397713</v>
      </c>
      <c r="I38" s="6"/>
      <c r="J38" s="86"/>
      <c r="K38" s="93"/>
    </row>
    <row r="39" spans="1:11" ht="31.5" x14ac:dyDescent="0.25">
      <c r="A39" s="60" t="s">
        <v>34</v>
      </c>
      <c r="B39" s="17">
        <v>241</v>
      </c>
      <c r="C39" s="17">
        <v>15</v>
      </c>
      <c r="D39" s="64">
        <f>VLOOKUP(B39,'CDKT 2019-2020'!$B$3:$E$80,4,FALSE)</f>
        <v>750146398723</v>
      </c>
      <c r="E39" s="98">
        <f>(Table2[[#This Row],[Column5]]-Table2[[#This Row],[Column6]])/Table2[[#This Row],[Column6]]</f>
        <v>0.22438864401608047</v>
      </c>
      <c r="F39" s="37">
        <v>918470731946</v>
      </c>
      <c r="G39" s="98">
        <f>(Table2[[#This Row],[Column4]]-Table2[[#This Row],[Column5]])/Table2[[#This Row],[Column5]]</f>
        <v>0.53452254718973913</v>
      </c>
      <c r="H39" s="37">
        <v>1409414047105</v>
      </c>
      <c r="I39" s="6"/>
      <c r="J39" s="87"/>
      <c r="K39" s="93"/>
    </row>
    <row r="40" spans="1:11" s="5" customFormat="1" x14ac:dyDescent="0.25">
      <c r="A40" s="60" t="s">
        <v>36</v>
      </c>
      <c r="B40" s="17">
        <v>242</v>
      </c>
      <c r="C40" s="17">
        <v>16</v>
      </c>
      <c r="D40" s="64">
        <f>VLOOKUP(B40,'CDKT 2019-2020'!$B$3:$E$80,4,FALSE)</f>
        <v>36685174068291</v>
      </c>
      <c r="E40" s="98">
        <f>(Table2[[#This Row],[Column5]]-Table2[[#This Row],[Column6]])/Table2[[#This Row],[Column6]]</f>
        <v>-0.85474396918143769</v>
      </c>
      <c r="F40" s="37">
        <v>5328742775048</v>
      </c>
      <c r="G40" s="98">
        <f>(Table2[[#This Row],[Column4]]-Table2[[#This Row],[Column5]])/Table2[[#This Row],[Column5]]</f>
        <v>0.55557993705810504</v>
      </c>
      <c r="H40" s="37">
        <v>8289285350608</v>
      </c>
      <c r="J40" s="87"/>
      <c r="K40" s="93"/>
    </row>
    <row r="41" spans="1:11" x14ac:dyDescent="0.25">
      <c r="A41" s="59" t="s">
        <v>37</v>
      </c>
      <c r="B41" s="12">
        <v>250</v>
      </c>
      <c r="C41" s="12"/>
      <c r="D41" s="64">
        <f>VLOOKUP(B41,'CDKT 2019-2020'!$B$3:$E$80,4,FALSE)</f>
        <v>45794216642</v>
      </c>
      <c r="E41" s="98">
        <f>(Table2[[#This Row],[Column5]]-Table2[[#This Row],[Column6]])/Table2[[#This Row],[Column6]]</f>
        <v>2.7359566088546172</v>
      </c>
      <c r="F41" s="37">
        <v>171085206311</v>
      </c>
      <c r="G41" s="98">
        <f>(Table2[[#This Row],[Column4]]-Table2[[#This Row],[Column5]])/Table2[[#This Row],[Column5]]</f>
        <v>-0.96074496584589741</v>
      </c>
      <c r="H41" s="37">
        <v>6715955617</v>
      </c>
      <c r="I41" s="6"/>
      <c r="J41" s="86"/>
      <c r="K41" s="93"/>
    </row>
    <row r="42" spans="1:11" x14ac:dyDescent="0.25">
      <c r="A42" s="60" t="s">
        <v>40</v>
      </c>
      <c r="B42" s="17">
        <v>252</v>
      </c>
      <c r="C42" s="17"/>
      <c r="D42" s="64">
        <f>VLOOKUP(B42,'CDKT 2019-2020'!$B$3:$E$80,4,FALSE)</f>
        <v>-1431313615</v>
      </c>
      <c r="E42" s="98">
        <f>(Table2[[#This Row],[Column5]]-Table2[[#This Row],[Column6]])/Table2[[#This Row],[Column6]]</f>
        <v>-1.2691278186437149</v>
      </c>
      <c r="F42" s="37">
        <v>385206311</v>
      </c>
      <c r="G42" s="98">
        <f>(Table2[[#This Row],[Column4]]-Table2[[#This Row],[Column5]])/Table2[[#This Row],[Column5]]</f>
        <v>14.617489758624437</v>
      </c>
      <c r="H42" s="37">
        <v>6015955617</v>
      </c>
      <c r="I42" s="6"/>
      <c r="J42" s="87"/>
      <c r="K42" s="93"/>
    </row>
    <row r="43" spans="1:11" x14ac:dyDescent="0.25">
      <c r="A43" s="60" t="s">
        <v>41</v>
      </c>
      <c r="B43" s="17">
        <v>253</v>
      </c>
      <c r="C43" s="17"/>
      <c r="D43" s="64">
        <f>VLOOKUP(B43,'CDKT 2019-2020'!$B$3:$E$80,4,FALSE)</f>
        <v>700000000</v>
      </c>
      <c r="E43" s="98">
        <f>(Table2[[#This Row],[Column5]]-Table2[[#This Row],[Column6]])/Table2[[#This Row],[Column6]]</f>
        <v>0</v>
      </c>
      <c r="F43" s="37">
        <v>700000000</v>
      </c>
      <c r="G43" s="98">
        <f>(Table2[[#This Row],[Column4]]-Table2[[#This Row],[Column5]])/Table2[[#This Row],[Column5]]</f>
        <v>0</v>
      </c>
      <c r="H43" s="37">
        <v>700000000</v>
      </c>
      <c r="I43" s="6"/>
      <c r="J43" s="87"/>
      <c r="K43" s="93"/>
    </row>
    <row r="44" spans="1:11" s="5" customFormat="1" x14ac:dyDescent="0.25">
      <c r="A44" s="60" t="s">
        <v>42</v>
      </c>
      <c r="B44" s="17">
        <v>255</v>
      </c>
      <c r="C44" s="17">
        <v>7</v>
      </c>
      <c r="D44" s="64">
        <f>VLOOKUP(B44,'CDKT 2019-2020'!$B$3:$E$80,4,FALSE)</f>
        <v>46525530257</v>
      </c>
      <c r="E44" s="98">
        <f>(Table2[[#This Row],[Column5]]-Table2[[#This Row],[Column6]])/Table2[[#This Row],[Column6]]</f>
        <v>2.6539078450249933</v>
      </c>
      <c r="F44" s="37">
        <v>170000000000</v>
      </c>
      <c r="G44" s="98"/>
      <c r="H44" s="37" t="s">
        <v>0</v>
      </c>
      <c r="J44" s="87"/>
      <c r="K44" s="93"/>
    </row>
    <row r="45" spans="1:11" x14ac:dyDescent="0.25">
      <c r="A45" s="59" t="s">
        <v>32</v>
      </c>
      <c r="B45" s="12">
        <v>260</v>
      </c>
      <c r="C45" s="12"/>
      <c r="D45" s="64">
        <f>VLOOKUP(B45,'CDKT 2019-2020'!$B$3:$E$80,4,FALSE)</f>
        <v>2004150482489</v>
      </c>
      <c r="E45" s="98">
        <f>(Table2[[#This Row],[Column5]]-Table2[[#This Row],[Column6]])/Table2[[#This Row],[Column6]]</f>
        <v>-4.4603789045312189E-2</v>
      </c>
      <c r="F45" s="37">
        <v>1914757777153</v>
      </c>
      <c r="G45" s="98">
        <f>(Table2[[#This Row],[Column4]]-Table2[[#This Row],[Column5]])/Table2[[#This Row],[Column5]]</f>
        <v>0.95213196892022534</v>
      </c>
      <c r="H45" s="37">
        <v>3737859869519</v>
      </c>
      <c r="I45" s="6"/>
      <c r="J45" s="86"/>
      <c r="K45" s="93"/>
    </row>
    <row r="46" spans="1:11" x14ac:dyDescent="0.25">
      <c r="A46" s="60" t="s">
        <v>145</v>
      </c>
      <c r="B46" s="17">
        <v>261</v>
      </c>
      <c r="C46" s="17">
        <v>17.2</v>
      </c>
      <c r="D46" s="64">
        <f>VLOOKUP(B46,'CDKT 2019-2020'!$B$3:$E$80,4,FALSE)</f>
        <v>1650738623090</v>
      </c>
      <c r="E46" s="98">
        <f>(Table2[[#This Row],[Column5]]-Table2[[#This Row],[Column6]])/Table2[[#This Row],[Column6]]</f>
        <v>-2.8133494673473806E-3</v>
      </c>
      <c r="F46" s="37">
        <v>1646094518464</v>
      </c>
      <c r="G46" s="98">
        <f>(Table2[[#This Row],[Column4]]-Table2[[#This Row],[Column5]])/Table2[[#This Row],[Column5]]</f>
        <v>0.92661001700271317</v>
      </c>
      <c r="H46" s="37">
        <v>3171382188206</v>
      </c>
      <c r="I46" s="6"/>
      <c r="J46" s="87"/>
      <c r="K46" s="93"/>
    </row>
    <row r="47" spans="1:11" x14ac:dyDescent="0.25">
      <c r="A47" s="60" t="s">
        <v>43</v>
      </c>
      <c r="B47" s="17">
        <v>262</v>
      </c>
      <c r="C47" s="17">
        <v>18</v>
      </c>
      <c r="D47" s="64">
        <f>VLOOKUP(B47,'CDKT 2019-2020'!$B$3:$E$80,4,FALSE)</f>
        <v>292226687882</v>
      </c>
      <c r="E47" s="98">
        <f>(Table2[[#This Row],[Column5]]-Table2[[#This Row],[Column6]])/Table2[[#This Row],[Column6]]</f>
        <v>-0.22815636840438902</v>
      </c>
      <c r="F47" s="37">
        <v>225553308024</v>
      </c>
      <c r="G47" s="98">
        <f>(Table2[[#This Row],[Column4]]-Table2[[#This Row],[Column5]])/Table2[[#This Row],[Column5]]</f>
        <v>1.3469207137129371</v>
      </c>
      <c r="H47" s="37">
        <v>529355730648</v>
      </c>
      <c r="I47" s="6"/>
      <c r="J47" s="87"/>
      <c r="K47" s="93"/>
    </row>
    <row r="48" spans="1:11" s="5" customFormat="1" x14ac:dyDescent="0.25">
      <c r="A48" s="60" t="s">
        <v>39</v>
      </c>
      <c r="B48" s="17">
        <v>269</v>
      </c>
      <c r="C48" s="17">
        <v>19</v>
      </c>
      <c r="D48" s="64">
        <f>VLOOKUP(B48,'CDKT 2019-2020'!$B$3:$E$80,4,FALSE)</f>
        <v>61185171517</v>
      </c>
      <c r="E48" s="98">
        <f>(Table2[[#This Row],[Column5]]-Table2[[#This Row],[Column6]])/Table2[[#This Row],[Column6]]</f>
        <v>-0.29541832447062583</v>
      </c>
      <c r="F48" s="37">
        <v>43109950665</v>
      </c>
      <c r="G48" s="98">
        <f>(Table2[[#This Row],[Column4]]-Table2[[#This Row],[Column5]])/Table2[[#This Row],[Column5]]</f>
        <v>-0.13890064608358557</v>
      </c>
      <c r="H48" s="37">
        <v>37121950665</v>
      </c>
      <c r="J48" s="87"/>
      <c r="K48" s="93"/>
    </row>
    <row r="49" spans="1:11" s="5" customFormat="1" x14ac:dyDescent="0.25">
      <c r="A49" s="59" t="s">
        <v>38</v>
      </c>
      <c r="B49" s="12">
        <v>270</v>
      </c>
      <c r="C49" s="12"/>
      <c r="D49" s="64">
        <f>VLOOKUP(B49,'CDKT 2019-2020'!$B$3:$E$80,4,FALSE)</f>
        <v>101776030099900</v>
      </c>
      <c r="E49" s="98">
        <f>(Table2[[#This Row],[Column5]]-Table2[[#This Row],[Column6]])/Table2[[#This Row],[Column6]]</f>
        <v>0.29216510272359519</v>
      </c>
      <c r="F49" s="37">
        <v>131511434388837</v>
      </c>
      <c r="G49" s="98">
        <f>(Table2[[#This Row],[Column4]]-Table2[[#This Row],[Column5]])/Table2[[#This Row],[Column5]]</f>
        <v>0.35529220851824367</v>
      </c>
      <c r="H49" s="37">
        <v>178236422358249</v>
      </c>
      <c r="J49" s="86"/>
      <c r="K49" s="94"/>
    </row>
    <row r="50" spans="1:11" s="5" customFormat="1" x14ac:dyDescent="0.25">
      <c r="A50" s="59" t="s">
        <v>44</v>
      </c>
      <c r="B50" s="12"/>
      <c r="C50" s="12"/>
      <c r="D50" s="64"/>
      <c r="E50" s="98"/>
      <c r="F50" s="37"/>
      <c r="G50" s="98"/>
      <c r="H50" s="37"/>
      <c r="J50" s="89"/>
      <c r="K50" s="94"/>
    </row>
    <row r="51" spans="1:11" s="5" customFormat="1" x14ac:dyDescent="0.25">
      <c r="A51" s="59" t="s">
        <v>45</v>
      </c>
      <c r="B51" s="12">
        <v>300</v>
      </c>
      <c r="C51" s="12"/>
      <c r="D51" s="64">
        <f>VLOOKUP(B51,'CDKT 2019-2020'!$B$3:$E$80,4,FALSE)</f>
        <v>53989393956205</v>
      </c>
      <c r="E51" s="98">
        <f>(Table2[[#This Row],[Column5]]-Table2[[#This Row],[Column6]])/Table2[[#This Row],[Column6]]</f>
        <v>0.33899721381142717</v>
      </c>
      <c r="F51" s="37">
        <v>72291648082726</v>
      </c>
      <c r="G51" s="98">
        <f>(Table2[[#This Row],[Column4]]-Table2[[#This Row],[Column5]])/Table2[[#This Row],[Column5]]</f>
        <v>0.2097634950406872</v>
      </c>
      <c r="H51" s="37">
        <v>87455796846810</v>
      </c>
      <c r="J51" s="86"/>
      <c r="K51" s="94"/>
    </row>
    <row r="52" spans="1:11" x14ac:dyDescent="0.25">
      <c r="A52" s="59" t="s">
        <v>46</v>
      </c>
      <c r="B52" s="12">
        <v>310</v>
      </c>
      <c r="C52" s="12"/>
      <c r="D52" s="64">
        <f>VLOOKUP(B52,'CDKT 2019-2020'!$B$3:$E$80,4,FALSE)</f>
        <v>26984198187977</v>
      </c>
      <c r="E52" s="98">
        <f>(Table2[[#This Row],[Column5]]-Table2[[#This Row],[Column6]])/Table2[[#This Row],[Column6]]</f>
        <v>0.92613532873679849</v>
      </c>
      <c r="F52" s="37">
        <v>51975217447498</v>
      </c>
      <c r="G52" s="98">
        <f>(Table2[[#This Row],[Column4]]-Table2[[#This Row],[Column5]])/Table2[[#This Row],[Column5]]</f>
        <v>0.41335273778594278</v>
      </c>
      <c r="H52" s="37">
        <v>73459315876441</v>
      </c>
      <c r="I52" s="6"/>
      <c r="J52" s="86"/>
      <c r="K52" s="94"/>
    </row>
    <row r="53" spans="1:11" x14ac:dyDescent="0.25">
      <c r="A53" s="60" t="s">
        <v>47</v>
      </c>
      <c r="B53" s="17">
        <v>311</v>
      </c>
      <c r="C53" s="17"/>
      <c r="D53" s="64">
        <f>VLOOKUP(B53,'CDKT 2019-2020'!$B$3:$E$80,4,FALSE)</f>
        <v>7507198913115</v>
      </c>
      <c r="E53" s="98">
        <f>(Table2[[#This Row],[Column5]]-Table2[[#This Row],[Column6]])/Table2[[#This Row],[Column6]]</f>
        <v>0.45403803073371229</v>
      </c>
      <c r="F53" s="37">
        <v>10915752723952</v>
      </c>
      <c r="G53" s="98">
        <f>(Table2[[#This Row],[Column4]]-Table2[[#This Row],[Column5]])/Table2[[#This Row],[Column5]]</f>
        <v>1.1738439088448835</v>
      </c>
      <c r="H53" s="37">
        <v>23729142569420</v>
      </c>
      <c r="I53" s="6"/>
      <c r="J53" s="87"/>
      <c r="K53" s="94"/>
    </row>
    <row r="54" spans="1:11" ht="16.5" customHeight="1" x14ac:dyDescent="0.25">
      <c r="A54" s="60" t="s">
        <v>48</v>
      </c>
      <c r="B54" s="17">
        <v>312</v>
      </c>
      <c r="C54" s="17">
        <v>20</v>
      </c>
      <c r="D54" s="64">
        <f>VLOOKUP(B54,'CDKT 2019-2020'!$B$3:$E$80,4,FALSE)</f>
        <v>408691837688</v>
      </c>
      <c r="E54" s="98">
        <f>(Table2[[#This Row],[Column5]]-Table2[[#This Row],[Column6]])/Table2[[#This Row],[Column6]]</f>
        <v>2.0763344142997453</v>
      </c>
      <c r="F54" s="37">
        <v>1257272765123</v>
      </c>
      <c r="G54" s="98">
        <f>(Table2[[#This Row],[Column4]]-Table2[[#This Row],[Column5]])/Table2[[#This Row],[Column5]]</f>
        <v>-0.37324451384508511</v>
      </c>
      <c r="H54" s="37">
        <v>788002603134</v>
      </c>
      <c r="I54" s="6"/>
      <c r="J54" s="87"/>
      <c r="K54" s="94"/>
    </row>
    <row r="55" spans="1:11" ht="31.5" x14ac:dyDescent="0.25">
      <c r="A55" s="60" t="s">
        <v>49</v>
      </c>
      <c r="B55" s="17">
        <v>313</v>
      </c>
      <c r="C55" s="17">
        <v>21</v>
      </c>
      <c r="D55" s="64">
        <f>VLOOKUP(B55,'CDKT 2019-2020'!$B$3:$E$80,4,FALSE)</f>
        <v>478426384718</v>
      </c>
      <c r="E55" s="98">
        <f>(Table2[[#This Row],[Column5]]-Table2[[#This Row],[Column6]])/Table2[[#This Row],[Column6]]</f>
        <v>0.14663254154837296</v>
      </c>
      <c r="F55" s="37">
        <v>548579261453</v>
      </c>
      <c r="G55" s="98">
        <f>(Table2[[#This Row],[Column4]]-Table2[[#This Row],[Column5]])/Table2[[#This Row],[Column5]]</f>
        <v>0.45106149111909127</v>
      </c>
      <c r="H55" s="37">
        <v>796022241121</v>
      </c>
      <c r="I55" s="6"/>
      <c r="J55" s="87"/>
      <c r="K55" s="94"/>
    </row>
    <row r="56" spans="1:11" x14ac:dyDescent="0.25">
      <c r="A56" s="60" t="s">
        <v>50</v>
      </c>
      <c r="B56" s="17">
        <v>314</v>
      </c>
      <c r="C56" s="17"/>
      <c r="D56" s="64">
        <f>VLOOKUP(B56,'CDKT 2019-2020'!$B$3:$E$80,4,FALSE)</f>
        <v>247936926136</v>
      </c>
      <c r="E56" s="98">
        <f>(Table2[[#This Row],[Column5]]-Table2[[#This Row],[Column6]])/Table2[[#This Row],[Column6]]</f>
        <v>0.26281987633522769</v>
      </c>
      <c r="F56" s="37">
        <v>313099678402</v>
      </c>
      <c r="G56" s="98">
        <f>(Table2[[#This Row],[Column4]]-Table2[[#This Row],[Column5]])/Table2[[#This Row],[Column5]]</f>
        <v>1.6076583974631917</v>
      </c>
      <c r="H56" s="37">
        <v>816457005628</v>
      </c>
      <c r="I56" s="6"/>
      <c r="J56" s="87"/>
      <c r="K56" s="94"/>
    </row>
    <row r="57" spans="1:11" x14ac:dyDescent="0.25">
      <c r="A57" s="60" t="s">
        <v>51</v>
      </c>
      <c r="B57" s="17">
        <v>315</v>
      </c>
      <c r="C57" s="17">
        <v>22.1</v>
      </c>
      <c r="D57" s="64">
        <f>VLOOKUP(B57,'CDKT 2019-2020'!$B$3:$E$80,4,FALSE)</f>
        <v>429777297411</v>
      </c>
      <c r="E57" s="98">
        <f>(Table2[[#This Row],[Column5]]-Table2[[#This Row],[Column6]])/Table2[[#This Row],[Column6]]</f>
        <v>0.48944508711412477</v>
      </c>
      <c r="F57" s="37">
        <v>640129684182</v>
      </c>
      <c r="G57" s="98">
        <f>(Table2[[#This Row],[Column4]]-Table2[[#This Row],[Column5]])/Table2[[#This Row],[Column5]]</f>
        <v>0.20696656075135564</v>
      </c>
      <c r="H57" s="37">
        <v>772615123352</v>
      </c>
      <c r="I57" s="6"/>
      <c r="J57" s="87"/>
      <c r="K57" s="94"/>
    </row>
    <row r="58" spans="1:11" x14ac:dyDescent="0.25">
      <c r="A58" s="60" t="s">
        <v>79</v>
      </c>
      <c r="B58" s="17">
        <v>318</v>
      </c>
      <c r="C58" s="17"/>
      <c r="D58" s="64">
        <f>VLOOKUP(B58,'CDKT 2019-2020'!$B$3:$E$80,4,FALSE)</f>
        <v>27406111996</v>
      </c>
      <c r="E58" s="98">
        <f>(Table2[[#This Row],[Column5]]-Table2[[#This Row],[Column6]])/Table2[[#This Row],[Column6]]</f>
        <v>0.26118976026386959</v>
      </c>
      <c r="F58" s="37">
        <v>34564307818</v>
      </c>
      <c r="G58" s="98">
        <f>(Table2[[#This Row],[Column4]]-Table2[[#This Row],[Column5]])/Table2[[#This Row],[Column5]]</f>
        <v>-0.50955444416069051</v>
      </c>
      <c r="H58" s="37">
        <v>16951911160</v>
      </c>
      <c r="I58" s="6"/>
      <c r="J58" s="87"/>
      <c r="K58" s="94"/>
    </row>
    <row r="59" spans="1:11" x14ac:dyDescent="0.25">
      <c r="A59" s="60" t="s">
        <v>52</v>
      </c>
      <c r="B59" s="17">
        <v>319</v>
      </c>
      <c r="C59" s="17">
        <v>23.1</v>
      </c>
      <c r="D59" s="64">
        <f>VLOOKUP(B59,'CDKT 2019-2020'!$B$3:$E$80,4,FALSE)</f>
        <v>237391747239</v>
      </c>
      <c r="E59" s="98">
        <f>(Table2[[#This Row],[Column5]]-Table2[[#This Row],[Column6]])/Table2[[#This Row],[Column6]]</f>
        <v>0.38194104962172964</v>
      </c>
      <c r="F59" s="37">
        <v>328061400351</v>
      </c>
      <c r="G59" s="98">
        <f>(Table2[[#This Row],[Column4]]-Table2[[#This Row],[Column5]])/Table2[[#This Row],[Column5]]</f>
        <v>2.191958904517942</v>
      </c>
      <c r="H59" s="37">
        <v>1047158508079</v>
      </c>
      <c r="I59" s="6"/>
      <c r="J59" s="87"/>
      <c r="K59" s="94"/>
    </row>
    <row r="60" spans="1:11" x14ac:dyDescent="0.25">
      <c r="A60" s="60" t="s">
        <v>53</v>
      </c>
      <c r="B60" s="17">
        <v>320</v>
      </c>
      <c r="C60" s="17">
        <v>24.1</v>
      </c>
      <c r="D60" s="64">
        <f>VLOOKUP(B60,'CDKT 2019-2020'!$B$3:$E$80,4,FALSE)</f>
        <v>16837653470387</v>
      </c>
      <c r="E60" s="98">
        <f>(Table2[[#This Row],[Column5]]-Table2[[#This Row],[Column6]])/Table2[[#This Row],[Column6]]</f>
        <v>1.1854865784488804</v>
      </c>
      <c r="F60" s="37">
        <v>36798465672104</v>
      </c>
      <c r="G60" s="98">
        <f>(Table2[[#This Row],[Column4]]-Table2[[#This Row],[Column5]])/Table2[[#This Row],[Column5]]</f>
        <v>0.18884421628263698</v>
      </c>
      <c r="H60" s="37">
        <v>43747643082356</v>
      </c>
      <c r="I60" s="6"/>
      <c r="J60" s="87"/>
      <c r="K60" s="94"/>
    </row>
    <row r="61" spans="1:11" x14ac:dyDescent="0.25">
      <c r="A61" s="60" t="s">
        <v>54</v>
      </c>
      <c r="B61" s="17">
        <v>321</v>
      </c>
      <c r="C61" s="17">
        <v>25</v>
      </c>
      <c r="D61" s="64">
        <f>VLOOKUP(B61,'CDKT 2019-2020'!$B$3:$E$80,4,FALSE)</f>
        <v>3111122885</v>
      </c>
      <c r="E61" s="98">
        <f>(Table2[[#This Row],[Column5]]-Table2[[#This Row],[Column6]])/Table2[[#This Row],[Column6]]</f>
        <v>0.87923616074072242</v>
      </c>
      <c r="F61" s="37">
        <v>5846534626</v>
      </c>
      <c r="G61" s="98">
        <f>(Table2[[#This Row],[Column4]]-Table2[[#This Row],[Column5]])/Table2[[#This Row],[Column5]]</f>
        <v>-0.18657191306951817</v>
      </c>
      <c r="H61" s="37">
        <v>4755735476</v>
      </c>
      <c r="I61" s="6"/>
      <c r="J61" s="87"/>
      <c r="K61" s="94"/>
    </row>
    <row r="62" spans="1:11" s="5" customFormat="1" x14ac:dyDescent="0.25">
      <c r="A62" s="60" t="s">
        <v>55</v>
      </c>
      <c r="B62" s="17">
        <v>322</v>
      </c>
      <c r="C62" s="17">
        <v>26</v>
      </c>
      <c r="D62" s="64">
        <f>VLOOKUP(B62,'CDKT 2019-2020'!$B$3:$E$80,4,FALSE)</f>
        <v>806604376402</v>
      </c>
      <c r="E62" s="98">
        <f>(Table2[[#This Row],[Column5]]-Table2[[#This Row],[Column6]])/Table2[[#This Row],[Column6]]</f>
        <v>0.40520613654854154</v>
      </c>
      <c r="F62" s="37">
        <v>1133445419487</v>
      </c>
      <c r="G62" s="98">
        <f>(Table2[[#This Row],[Column4]]-Table2[[#This Row],[Column5]])/Table2[[#This Row],[Column5]]</f>
        <v>0.53564262274118557</v>
      </c>
      <c r="H62" s="37">
        <v>1740567096715</v>
      </c>
      <c r="J62" s="87"/>
      <c r="K62" s="94"/>
    </row>
    <row r="63" spans="1:11" x14ac:dyDescent="0.25">
      <c r="A63" s="59" t="s">
        <v>56</v>
      </c>
      <c r="B63" s="12">
        <v>330</v>
      </c>
      <c r="C63" s="12"/>
      <c r="D63" s="64">
        <f>VLOOKUP(B63,'CDKT 2019-2020'!$B$3:$E$80,4,FALSE)</f>
        <v>27005195768228</v>
      </c>
      <c r="E63" s="98">
        <f>(Table2[[#This Row],[Column5]]-Table2[[#This Row],[Column6]])/Table2[[#This Row],[Column6]]</f>
        <v>-0.24768437860648387</v>
      </c>
      <c r="F63" s="37">
        <v>20316430635228</v>
      </c>
      <c r="G63" s="98">
        <f>(Table2[[#This Row],[Column4]]-Table2[[#This Row],[Column5]])/Table2[[#This Row],[Column5]]</f>
        <v>-0.31107578778628675</v>
      </c>
      <c r="H63" s="37">
        <v>13996480970369</v>
      </c>
      <c r="I63" s="6"/>
      <c r="J63" s="86"/>
      <c r="K63" s="94"/>
    </row>
    <row r="64" spans="1:11" x14ac:dyDescent="0.25">
      <c r="A64" s="60" t="s">
        <v>78</v>
      </c>
      <c r="B64" s="17">
        <v>331</v>
      </c>
      <c r="C64" s="17"/>
      <c r="D64" s="64">
        <f>VLOOKUP(B64,'CDKT 2019-2020'!$B$3:$E$80,4,FALSE)</f>
        <v>6652492138554</v>
      </c>
      <c r="E64" s="98">
        <f>(Table2[[#This Row],[Column5]]-Table2[[#This Row],[Column6]])/Table2[[#This Row],[Column6]]</f>
        <v>-0.60345873346459922</v>
      </c>
      <c r="F64" s="37">
        <v>2637987658239</v>
      </c>
      <c r="G64" s="98"/>
      <c r="H64" s="37" t="s">
        <v>0</v>
      </c>
      <c r="I64" s="6"/>
      <c r="J64" s="87"/>
      <c r="K64" s="94"/>
    </row>
    <row r="65" spans="1:11" x14ac:dyDescent="0.25">
      <c r="A65" s="60" t="s">
        <v>57</v>
      </c>
      <c r="B65" s="17">
        <v>333</v>
      </c>
      <c r="C65" s="17">
        <v>22.2</v>
      </c>
      <c r="D65" s="64">
        <f>VLOOKUP(B65,'CDKT 2019-2020'!$B$3:$E$80,4,FALSE)</f>
        <v>427328992030</v>
      </c>
      <c r="E65" s="98">
        <f>(Table2[[#This Row],[Column5]]-Table2[[#This Row],[Column6]])/Table2[[#This Row],[Column6]]</f>
        <v>-0.47659883130443448</v>
      </c>
      <c r="F65" s="37">
        <v>223664493846</v>
      </c>
      <c r="G65" s="98">
        <f>(Table2[[#This Row],[Column4]]-Table2[[#This Row],[Column5]])/Table2[[#This Row],[Column5]]</f>
        <v>0.8349266493079528</v>
      </c>
      <c r="H65" s="37">
        <v>410407940262</v>
      </c>
      <c r="I65" s="6"/>
      <c r="J65" s="87"/>
      <c r="K65" s="94"/>
    </row>
    <row r="66" spans="1:11" x14ac:dyDescent="0.25">
      <c r="A66" s="60" t="s">
        <v>58</v>
      </c>
      <c r="B66" s="17">
        <v>336</v>
      </c>
      <c r="C66" s="17"/>
      <c r="D66" s="64">
        <f>VLOOKUP(B66,'CDKT 2019-2020'!$B$3:$E$80,4,FALSE)</f>
        <v>3369818100</v>
      </c>
      <c r="E66" s="98">
        <f>(Table2[[#This Row],[Column5]]-Table2[[#This Row],[Column6]])/Table2[[#This Row],[Column6]]</f>
        <v>3.7859112015571403</v>
      </c>
      <c r="F66" s="37">
        <v>16127650192</v>
      </c>
      <c r="G66" s="98">
        <f>(Table2[[#This Row],[Column4]]-Table2[[#This Row],[Column5]])/Table2[[#This Row],[Column5]]</f>
        <v>-0.45415373937321818</v>
      </c>
      <c r="H66" s="37">
        <v>8803217550</v>
      </c>
      <c r="I66" s="6"/>
      <c r="J66" s="87"/>
      <c r="K66" s="94"/>
    </row>
    <row r="67" spans="1:11" x14ac:dyDescent="0.25">
      <c r="A67" s="60" t="s">
        <v>59</v>
      </c>
      <c r="B67" s="17">
        <v>337</v>
      </c>
      <c r="C67" s="17">
        <v>23.2</v>
      </c>
      <c r="D67" s="64">
        <f>VLOOKUP(B67,'CDKT 2019-2020'!$B$3:$E$80,4,FALSE)</f>
        <v>58387110781</v>
      </c>
      <c r="E67" s="98">
        <f>(Table2[[#This Row],[Column5]]-Table2[[#This Row],[Column6]])/Table2[[#This Row],[Column6]]</f>
        <v>0.17724760226306152</v>
      </c>
      <c r="F67" s="37">
        <v>68736086170</v>
      </c>
      <c r="G67" s="98">
        <f>(Table2[[#This Row],[Column4]]-Table2[[#This Row],[Column5]])/Table2[[#This Row],[Column5]]</f>
        <v>-8.3057171961759366E-2</v>
      </c>
      <c r="H67" s="37">
        <v>63027061241</v>
      </c>
      <c r="I67" s="6"/>
      <c r="J67" s="87"/>
      <c r="K67" s="94"/>
    </row>
    <row r="68" spans="1:11" x14ac:dyDescent="0.25">
      <c r="A68" s="60" t="s">
        <v>60</v>
      </c>
      <c r="B68" s="17">
        <v>338</v>
      </c>
      <c r="C68" s="17">
        <v>24.2</v>
      </c>
      <c r="D68" s="64">
        <f>VLOOKUP(B68,'CDKT 2019-2020'!$B$3:$E$80,4,FALSE)</f>
        <v>1984209921972</v>
      </c>
      <c r="E68" s="98">
        <f>(Table2[[#This Row],[Column5]]-Table2[[#This Row],[Column6]])/Table2[[#This Row],[Column6]]</f>
        <v>7.7406314016792512</v>
      </c>
      <c r="F68" s="37">
        <v>17343247551512</v>
      </c>
      <c r="G68" s="98">
        <f>(Table2[[#This Row],[Column4]]-Table2[[#This Row],[Column5]])/Table2[[#This Row],[Column5]]</f>
        <v>-0.22362106873541598</v>
      </c>
      <c r="H68" s="37">
        <v>13464931998700</v>
      </c>
      <c r="I68" s="6"/>
      <c r="J68" s="87"/>
      <c r="K68" s="94"/>
    </row>
    <row r="69" spans="1:11" x14ac:dyDescent="0.25">
      <c r="A69" s="60" t="s">
        <v>61</v>
      </c>
      <c r="B69" s="17">
        <v>341</v>
      </c>
      <c r="C69" s="17"/>
      <c r="D69" s="64">
        <f>VLOOKUP(B69,'CDKT 2019-2020'!$B$3:$E$80,4,FALSE)</f>
        <v>1104751459</v>
      </c>
      <c r="E69" s="98">
        <f>(Table2[[#This Row],[Column5]]-Table2[[#This Row],[Column6]])/Table2[[#This Row],[Column6]]</f>
        <v>-0.39691183607660663</v>
      </c>
      <c r="F69" s="37">
        <v>666262529</v>
      </c>
      <c r="G69" s="98"/>
      <c r="H69" s="37" t="s">
        <v>0</v>
      </c>
      <c r="I69" s="6"/>
      <c r="J69" s="88"/>
      <c r="K69" s="94"/>
    </row>
    <row r="70" spans="1:11" s="5" customFormat="1" x14ac:dyDescent="0.25">
      <c r="A70" s="60" t="s">
        <v>62</v>
      </c>
      <c r="B70" s="17">
        <v>342</v>
      </c>
      <c r="C70" s="17">
        <v>25</v>
      </c>
      <c r="D70" s="64">
        <f>VLOOKUP(B70,'CDKT 2019-2020'!$B$3:$E$80,4,FALSE)</f>
        <v>20413373584</v>
      </c>
      <c r="E70" s="98">
        <f>(Table2[[#This Row],[Column5]]-Table2[[#This Row],[Column6]])/Table2[[#This Row],[Column6]]</f>
        <v>0.27372051625898464</v>
      </c>
      <c r="F70" s="37">
        <v>26000932740</v>
      </c>
      <c r="G70" s="98">
        <f>(Table2[[#This Row],[Column4]]-Table2[[#This Row],[Column5]])/Table2[[#This Row],[Column5]]</f>
        <v>0.89649929520182281</v>
      </c>
      <c r="H70" s="37">
        <v>49310750616</v>
      </c>
      <c r="J70" s="90"/>
      <c r="K70" s="94"/>
    </row>
    <row r="71" spans="1:11" s="5" customFormat="1" x14ac:dyDescent="0.25">
      <c r="A71" s="59" t="s">
        <v>64</v>
      </c>
      <c r="B71" s="12">
        <v>400</v>
      </c>
      <c r="C71" s="17"/>
      <c r="D71" s="64">
        <f>VLOOKUP(B71,'CDKT 2019-2020'!$B$3:$E$80,4,FALSE)</f>
        <v>47786636143695</v>
      </c>
      <c r="E71" s="98">
        <f>(Table2[[#This Row],[Column5]]-Table2[[#This Row],[Column6]])/Table2[[#This Row],[Column6]]</f>
        <v>0.23925413222300013</v>
      </c>
      <c r="F71" s="37">
        <v>59219786306111</v>
      </c>
      <c r="G71" s="98">
        <f>(Table2[[#This Row],[Column4]]-Table2[[#This Row],[Column5]])/Table2[[#This Row],[Column5]]</f>
        <v>0.53294415893681091</v>
      </c>
      <c r="H71" s="37">
        <v>90780625511439</v>
      </c>
      <c r="J71" s="90"/>
      <c r="K71" s="94"/>
    </row>
    <row r="72" spans="1:11" x14ac:dyDescent="0.25">
      <c r="A72" s="59" t="s">
        <v>76</v>
      </c>
      <c r="B72" s="12">
        <v>410</v>
      </c>
      <c r="C72" s="17">
        <v>27</v>
      </c>
      <c r="D72" s="64">
        <f>VLOOKUP(B72,'CDKT 2019-2020'!$B$3:$E$80,4,FALSE)</f>
        <v>47786636143695</v>
      </c>
      <c r="E72" s="98">
        <f>(Table2[[#This Row],[Column5]]-Table2[[#This Row],[Column6]])/Table2[[#This Row],[Column6]]</f>
        <v>0.23925413222300013</v>
      </c>
      <c r="F72" s="37">
        <v>59219786306111</v>
      </c>
      <c r="G72" s="98">
        <f>(Table2[[#This Row],[Column4]]-Table2[[#This Row],[Column5]])/Table2[[#This Row],[Column5]]</f>
        <v>0.53294415893681091</v>
      </c>
      <c r="H72" s="37">
        <v>90780625511439</v>
      </c>
      <c r="I72" s="6"/>
      <c r="J72" s="91"/>
      <c r="K72" s="94"/>
    </row>
    <row r="73" spans="1:11" s="31" customFormat="1" x14ac:dyDescent="0.25">
      <c r="A73" s="60" t="s">
        <v>77</v>
      </c>
      <c r="B73" s="17">
        <v>411</v>
      </c>
      <c r="C73" s="17">
        <v>28</v>
      </c>
      <c r="D73" s="64">
        <f>VLOOKUP(B73,'CDKT 2019-2020'!$B$3:$E$80,4,FALSE)</f>
        <v>27610741150000</v>
      </c>
      <c r="E73" s="98">
        <f>(Table2[[#This Row],[Column5]]-Table2[[#This Row],[Column6]])/Table2[[#This Row],[Column6]]</f>
        <v>0.1999977258850221</v>
      </c>
      <c r="F73" s="37">
        <v>33132826590000</v>
      </c>
      <c r="G73" s="98">
        <f>(Table2[[#This Row],[Column4]]-Table2[[#This Row],[Column5]])/Table2[[#This Row],[Column5]]</f>
        <v>0.34999731877690066</v>
      </c>
      <c r="H73" s="37">
        <v>44729227060000</v>
      </c>
      <c r="J73" s="90"/>
      <c r="K73" s="94"/>
    </row>
    <row r="74" spans="1:11" ht="31.5" x14ac:dyDescent="0.25">
      <c r="A74" s="62" t="s">
        <v>65</v>
      </c>
      <c r="B74" s="29" t="s">
        <v>66</v>
      </c>
      <c r="C74" s="29"/>
      <c r="D74" s="64">
        <f>VLOOKUP(B74,'CDKT 2019-2020'!$B$3:$E$80,4,FALSE)</f>
        <v>27610741150000</v>
      </c>
      <c r="E74" s="98">
        <f>(Table2[[#This Row],[Column5]]-Table2[[#This Row],[Column6]])/Table2[[#This Row],[Column6]]</f>
        <v>0.1999977258850221</v>
      </c>
      <c r="F74" s="37">
        <v>33132826590000</v>
      </c>
      <c r="G74" s="98">
        <f>(Table2[[#This Row],[Column4]]-Table2[[#This Row],[Column5]])/Table2[[#This Row],[Column5]]</f>
        <v>0.34999731877690066</v>
      </c>
      <c r="H74" s="37">
        <v>44729227060000</v>
      </c>
      <c r="I74" s="6"/>
      <c r="J74" s="92"/>
      <c r="K74" s="94"/>
    </row>
    <row r="75" spans="1:11" x14ac:dyDescent="0.25">
      <c r="A75" s="60" t="s">
        <v>67</v>
      </c>
      <c r="B75" s="17">
        <v>412</v>
      </c>
      <c r="C75" s="17"/>
      <c r="D75" s="64">
        <f>VLOOKUP(B75,'CDKT 2019-2020'!$B$3:$E$80,4,FALSE)</f>
        <v>3211560416270</v>
      </c>
      <c r="E75" s="98">
        <f>(Table2[[#This Row],[Column5]]-Table2[[#This Row],[Column6]])/Table2[[#This Row],[Column6]]</f>
        <v>0</v>
      </c>
      <c r="F75" s="37">
        <v>3211560416270</v>
      </c>
      <c r="G75" s="98">
        <f>(Table2[[#This Row],[Column4]]-Table2[[#This Row],[Column5]])/Table2[[#This Row],[Column5]]</f>
        <v>0</v>
      </c>
      <c r="H75" s="37">
        <v>3211560416270</v>
      </c>
      <c r="I75" s="6"/>
      <c r="J75" s="90"/>
      <c r="K75" s="94"/>
    </row>
    <row r="76" spans="1:11" x14ac:dyDescent="0.25">
      <c r="A76" s="60" t="s">
        <v>68</v>
      </c>
      <c r="B76" s="17">
        <v>417</v>
      </c>
      <c r="C76" s="17"/>
      <c r="D76" s="64">
        <f>VLOOKUP(B76,'CDKT 2019-2020'!$B$3:$E$80,4,FALSE)</f>
        <v>565534994</v>
      </c>
      <c r="E76" s="98">
        <f>(Table2[[#This Row],[Column5]]-Table2[[#This Row],[Column6]])/Table2[[#This Row],[Column6]]</f>
        <v>8.8461971957123495</v>
      </c>
      <c r="F76" s="37">
        <v>5568369072</v>
      </c>
      <c r="G76" s="98">
        <f>(Table2[[#This Row],[Column4]]-Table2[[#This Row],[Column5]])/Table2[[#This Row],[Column5]]</f>
        <v>-1.3458752153632392</v>
      </c>
      <c r="H76" s="37">
        <v>-1925960852</v>
      </c>
      <c r="I76" s="6"/>
      <c r="J76" s="90"/>
      <c r="K76" s="94"/>
    </row>
    <row r="77" spans="1:11" x14ac:dyDescent="0.25">
      <c r="A77" s="60" t="s">
        <v>69</v>
      </c>
      <c r="B77" s="17">
        <v>418</v>
      </c>
      <c r="C77" s="17"/>
      <c r="D77" s="64">
        <f>VLOOKUP(B77,'CDKT 2019-2020'!$B$3:$E$80,4,FALSE)</f>
        <v>923641612156</v>
      </c>
      <c r="E77" s="98">
        <f>(Table2[[#This Row],[Column5]]-Table2[[#This Row],[Column6]])/Table2[[#This Row],[Column6]]</f>
        <v>5.4133550656393732E-3</v>
      </c>
      <c r="F77" s="37">
        <v>928641612156</v>
      </c>
      <c r="G77" s="98">
        <f>(Table2[[#This Row],[Column4]]-Table2[[#This Row],[Column5]])/Table2[[#This Row],[Column5]]</f>
        <v>-5.4836095726717845E-3</v>
      </c>
      <c r="H77" s="37">
        <v>923549304122</v>
      </c>
      <c r="I77" s="6"/>
      <c r="J77" s="90"/>
      <c r="K77" s="94"/>
    </row>
    <row r="78" spans="1:11" s="31" customFormat="1" x14ac:dyDescent="0.25">
      <c r="A78" s="60" t="s">
        <v>75</v>
      </c>
      <c r="B78" s="17">
        <v>421</v>
      </c>
      <c r="C78" s="17"/>
      <c r="D78" s="64">
        <f>VLOOKUP(B78,'CDKT 2019-2020'!$B$3:$E$80,4,FALSE)</f>
        <v>15876913750948</v>
      </c>
      <c r="E78" s="98">
        <f>(Table2[[#This Row],[Column5]]-Table2[[#This Row],[Column6]])/Table2[[#This Row],[Column6]]</f>
        <v>0.37258682481560923</v>
      </c>
      <c r="F78" s="37">
        <v>21792442633285</v>
      </c>
      <c r="G78" s="98">
        <f>(Table2[[#This Row],[Column4]]-Table2[[#This Row],[Column5]])/Table2[[#This Row],[Column5]]</f>
        <v>0.91641784602539378</v>
      </c>
      <c r="H78" s="37">
        <v>41763425970912</v>
      </c>
      <c r="J78" s="90"/>
      <c r="K78" s="94"/>
    </row>
    <row r="79" spans="1:11" s="31" customFormat="1" ht="31.5" x14ac:dyDescent="0.25">
      <c r="A79" s="62" t="s">
        <v>70</v>
      </c>
      <c r="B79" s="29" t="s">
        <v>72</v>
      </c>
      <c r="C79" s="29"/>
      <c r="D79" s="64">
        <f>VLOOKUP(B79,'CDKT 2019-2020'!$B$3:$E$80,4,FALSE)</f>
        <v>8349470883074</v>
      </c>
      <c r="E79" s="98">
        <f>(Table2[[#This Row],[Column5]]-Table2[[#This Row],[Column6]])/Table2[[#This Row],[Column6]]</f>
        <v>-8.7769664732359194E-4</v>
      </c>
      <c r="F79" s="37">
        <v>8342142580473</v>
      </c>
      <c r="G79" s="98">
        <f>(Table2[[#This Row],[Column4]]-Table2[[#This Row],[Column5]])/Table2[[#This Row],[Column5]]</f>
        <v>-0.12668925241038928</v>
      </c>
      <c r="H79" s="37">
        <v>7285282773452</v>
      </c>
      <c r="J79" s="92"/>
      <c r="K79" s="94"/>
    </row>
    <row r="80" spans="1:11" s="31" customFormat="1" x14ac:dyDescent="0.25">
      <c r="A80" s="62" t="s">
        <v>71</v>
      </c>
      <c r="B80" s="29" t="s">
        <v>63</v>
      </c>
      <c r="C80" s="29"/>
      <c r="D80" s="64">
        <f>VLOOKUP(B80,'CDKT 2019-2020'!$B$3:$E$80,4,FALSE)</f>
        <v>7527442867874</v>
      </c>
      <c r="E80" s="98">
        <f>(Table2[[#This Row],[Column5]]-Table2[[#This Row],[Column6]])/Table2[[#This Row],[Column6]]</f>
        <v>0.78683522265122308</v>
      </c>
      <c r="F80" s="37">
        <v>13450300052812</v>
      </c>
      <c r="G80" s="98">
        <f>(Table2[[#This Row],[Column4]]-Table2[[#This Row],[Column5]])/Table2[[#This Row],[Column5]]</f>
        <v>1.5633735353176597</v>
      </c>
      <c r="H80" s="37">
        <v>34478143197460</v>
      </c>
      <c r="J80" s="92"/>
      <c r="K80" s="94"/>
    </row>
    <row r="81" spans="1:11" s="5" customFormat="1" x14ac:dyDescent="0.25">
      <c r="A81" s="62" t="s">
        <v>73</v>
      </c>
      <c r="B81" s="29">
        <v>429</v>
      </c>
      <c r="C81" s="29"/>
      <c r="D81" s="64">
        <f>VLOOKUP(B81,'CDKT 2019-2020'!$B$3:$E$80,4,FALSE)</f>
        <v>163213679327</v>
      </c>
      <c r="E81" s="98">
        <f>(Table2[[#This Row],[Column5]]-Table2[[#This Row],[Column6]])/Table2[[#This Row],[Column6]]</f>
        <v>-8.8638366947265818E-2</v>
      </c>
      <c r="F81" s="37">
        <v>148746685328</v>
      </c>
      <c r="G81" s="98">
        <f>(Table2[[#This Row],[Column4]]-Table2[[#This Row],[Column5]])/Table2[[#This Row],[Column5]]</f>
        <v>4.0619632267278834E-2</v>
      </c>
      <c r="H81" s="37">
        <v>154788720987</v>
      </c>
      <c r="J81" s="90"/>
      <c r="K81" s="94"/>
    </row>
    <row r="82" spans="1:11" ht="31.5" x14ac:dyDescent="0.25">
      <c r="A82" s="65" t="s">
        <v>74</v>
      </c>
      <c r="B82" s="66">
        <v>440</v>
      </c>
      <c r="C82" s="67"/>
      <c r="D82" s="69">
        <f>VLOOKUP(B82,'CDKT 2019-2020'!$B$3:$E$80,4,FALSE)</f>
        <v>101776030099900</v>
      </c>
      <c r="E82" s="98">
        <f>(Table2[[#This Row],[Column5]]-Table2[[#This Row],[Column6]])/Table2[[#This Row],[Column6]]</f>
        <v>0.29216510272359519</v>
      </c>
      <c r="F82" s="68">
        <v>131511434388837</v>
      </c>
      <c r="G82" s="98">
        <f>(Table2[[#This Row],[Column4]]-Table2[[#This Row],[Column5]])/Table2[[#This Row],[Column5]]</f>
        <v>0.35529220851824367</v>
      </c>
      <c r="H82" s="68">
        <v>178236422358249</v>
      </c>
      <c r="I82" s="6"/>
      <c r="J82" s="86"/>
      <c r="K82" s="94"/>
    </row>
  </sheetData>
  <conditionalFormatting sqref="E4:E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5" sqref="A5:H15"/>
    </sheetView>
  </sheetViews>
  <sheetFormatPr defaultRowHeight="15.75" x14ac:dyDescent="0.25"/>
  <cols>
    <col min="1" max="1" width="37.7109375" style="6" customWidth="1"/>
    <col min="2" max="2" width="4.140625" style="2" bestFit="1" customWidth="1"/>
    <col min="3" max="3" width="7.42578125" style="2" bestFit="1" customWidth="1"/>
    <col min="4" max="4" width="27.85546875" style="1" bestFit="1" customWidth="1"/>
    <col min="5" max="5" width="27.85546875" style="1" customWidth="1"/>
    <col min="6" max="6" width="26.42578125" style="1" bestFit="1" customWidth="1"/>
    <col min="7" max="7" width="26.42578125" style="1" customWidth="1"/>
    <col min="8" max="8" width="22.5703125" style="1" bestFit="1" customWidth="1"/>
    <col min="9" max="16384" width="9.140625" style="1"/>
  </cols>
  <sheetData>
    <row r="1" spans="1:8" s="10" customFormat="1" ht="47.25" x14ac:dyDescent="0.25">
      <c r="A1" s="12"/>
      <c r="B1" s="12" t="s">
        <v>80</v>
      </c>
      <c r="C1" s="12" t="s">
        <v>81</v>
      </c>
      <c r="D1" s="15" t="s">
        <v>155</v>
      </c>
      <c r="E1" s="15"/>
      <c r="F1" s="15" t="s">
        <v>83</v>
      </c>
      <c r="G1" s="15"/>
      <c r="H1" s="15" t="s">
        <v>82</v>
      </c>
    </row>
    <row r="2" spans="1:8" s="3" customFormat="1" ht="31.5" x14ac:dyDescent="0.25">
      <c r="A2" s="22" t="s">
        <v>84</v>
      </c>
      <c r="B2" s="12">
        <v>1</v>
      </c>
      <c r="C2" s="12">
        <v>31</v>
      </c>
      <c r="D2" s="42">
        <f>VLOOKUP(B2,KQHDKD!$B$2:$E$25,4,0)</f>
        <v>64677906575644</v>
      </c>
      <c r="E2" s="99">
        <f>(F2-D2)/D2</f>
        <v>0.41128627385412764</v>
      </c>
      <c r="F2" s="41">
        <v>91279041771826</v>
      </c>
      <c r="G2" s="99">
        <f>(H2-F2)/F2</f>
        <v>0.65279298553905052</v>
      </c>
      <c r="H2" s="41">
        <v>150865359967200</v>
      </c>
    </row>
    <row r="3" spans="1:8" s="3" customFormat="1" x14ac:dyDescent="0.25">
      <c r="A3" s="22" t="s">
        <v>85</v>
      </c>
      <c r="B3" s="12">
        <v>2</v>
      </c>
      <c r="C3" s="12">
        <v>31</v>
      </c>
      <c r="D3" s="42">
        <f>VLOOKUP(B3,KQHDKD!$B$2:$E$25,4,0)</f>
        <v>1019713901853</v>
      </c>
      <c r="E3" s="99">
        <f t="shared" ref="E3:E25" si="0">(F3-D3)/D3</f>
        <v>0.13810191564525809</v>
      </c>
      <c r="F3" s="41">
        <v>1160538345109</v>
      </c>
      <c r="G3" s="99">
        <f t="shared" ref="G3:G25" si="1">(H3-F3)/F3</f>
        <v>2.1568992400375173E-2</v>
      </c>
      <c r="H3" s="41">
        <v>1185569987855</v>
      </c>
    </row>
    <row r="4" spans="1:8" s="3" customFormat="1" ht="31.5" x14ac:dyDescent="0.25">
      <c r="A4" s="22" t="s">
        <v>86</v>
      </c>
      <c r="B4" s="12">
        <v>10</v>
      </c>
      <c r="C4" s="12">
        <v>31</v>
      </c>
      <c r="D4" s="42">
        <f>VLOOKUP(B4,KQHDKD!$B$2:$E$25,4,0)</f>
        <v>63658192673791</v>
      </c>
      <c r="E4" s="99">
        <f t="shared" si="0"/>
        <v>0.41566229956478318</v>
      </c>
      <c r="F4" s="41">
        <v>90118503426717</v>
      </c>
      <c r="G4" s="99">
        <f t="shared" si="1"/>
        <v>0.66092183389465997</v>
      </c>
      <c r="H4" s="41">
        <v>149679789979345</v>
      </c>
    </row>
    <row r="5" spans="1:8" s="3" customFormat="1" x14ac:dyDescent="0.25">
      <c r="A5" s="22" t="s">
        <v>87</v>
      </c>
      <c r="B5" s="12">
        <v>11</v>
      </c>
      <c r="C5" s="12">
        <v>32</v>
      </c>
      <c r="D5" s="42">
        <f>VLOOKUP(B5,KQHDKD!$B$2:$E$25,4,0)</f>
        <v>52472820451654</v>
      </c>
      <c r="E5" s="99">
        <f t="shared" si="0"/>
        <v>0.35716839517282406</v>
      </c>
      <c r="F5" s="41">
        <v>71214453522563</v>
      </c>
      <c r="G5" s="99">
        <f t="shared" si="1"/>
        <v>0.52456945291245038</v>
      </c>
      <c r="H5" s="41">
        <v>108571380446353</v>
      </c>
    </row>
    <row r="6" spans="1:8" s="3" customFormat="1" x14ac:dyDescent="0.25">
      <c r="A6" s="22" t="s">
        <v>88</v>
      </c>
      <c r="B6" s="12">
        <v>20</v>
      </c>
      <c r="C6" s="12"/>
      <c r="D6" s="42">
        <f>VLOOKUP(B6,KQHDKD!$B$2:$E$25,4,0)</f>
        <v>11185372222137</v>
      </c>
      <c r="E6" s="99">
        <f t="shared" si="0"/>
        <v>0.69006891578815266</v>
      </c>
      <c r="F6" s="41">
        <v>18904049904154</v>
      </c>
      <c r="G6" s="99">
        <f t="shared" si="1"/>
        <v>1.1745821525766702</v>
      </c>
      <c r="H6" s="41">
        <v>41108409532992</v>
      </c>
    </row>
    <row r="7" spans="1:8" x14ac:dyDescent="0.25">
      <c r="A7" s="24" t="s">
        <v>89</v>
      </c>
      <c r="B7" s="17">
        <v>21</v>
      </c>
      <c r="C7" s="17">
        <v>33</v>
      </c>
      <c r="D7" s="42">
        <f>VLOOKUP(B7,KQHDKD!$B$2:$E$25,4,0)</f>
        <v>471053832011</v>
      </c>
      <c r="E7" s="99">
        <f t="shared" si="0"/>
        <v>1.1330678109132466</v>
      </c>
      <c r="F7" s="41">
        <v>1004789766270</v>
      </c>
      <c r="G7" s="99">
        <f t="shared" si="1"/>
        <v>2.0567992860734057</v>
      </c>
      <c r="H7" s="43">
        <v>3071440640188</v>
      </c>
    </row>
    <row r="8" spans="1:8" x14ac:dyDescent="0.25">
      <c r="A8" s="24" t="s">
        <v>90</v>
      </c>
      <c r="B8" s="17">
        <v>22</v>
      </c>
      <c r="C8" s="17">
        <v>34</v>
      </c>
      <c r="D8" s="42">
        <f>VLOOKUP(B8,KQHDKD!$B$2:$E$25,4,0)</f>
        <v>1181675710916</v>
      </c>
      <c r="E8" s="99">
        <f t="shared" si="0"/>
        <v>1.4011718311350638</v>
      </c>
      <c r="F8" s="41">
        <v>2837406430588</v>
      </c>
      <c r="G8" s="99">
        <f t="shared" si="1"/>
        <v>0.31512433948340168</v>
      </c>
      <c r="H8" s="43">
        <v>3731542257873</v>
      </c>
    </row>
    <row r="9" spans="1:8" x14ac:dyDescent="0.25">
      <c r="A9" s="24" t="s">
        <v>91</v>
      </c>
      <c r="B9" s="17">
        <v>23</v>
      </c>
      <c r="C9" s="17"/>
      <c r="D9" s="42">
        <f>VLOOKUP(B9,KQHDKD!$B$2:$E$25,4,0)</f>
        <v>936710218359</v>
      </c>
      <c r="E9" s="99">
        <f t="shared" si="0"/>
        <v>1.3397640812081166</v>
      </c>
      <c r="F9" s="41">
        <v>2191680923417</v>
      </c>
      <c r="G9" s="99">
        <f t="shared" si="1"/>
        <v>0.15245938916101268</v>
      </c>
      <c r="H9" s="43">
        <v>2525823258237</v>
      </c>
    </row>
    <row r="10" spans="1:8" x14ac:dyDescent="0.25">
      <c r="A10" s="24" t="s">
        <v>92</v>
      </c>
      <c r="B10" s="17">
        <v>24</v>
      </c>
      <c r="C10" s="17"/>
      <c r="D10" s="42">
        <f>VLOOKUP(B10,KQHDKD!$B$2:$E$25,4,0)</f>
        <v>-1431313615</v>
      </c>
      <c r="E10" s="99">
        <f t="shared" si="0"/>
        <v>-2.3726074728912572</v>
      </c>
      <c r="F10" s="41">
        <v>1964631764</v>
      </c>
      <c r="G10" s="99">
        <f t="shared" si="1"/>
        <v>1.2728446861251095</v>
      </c>
      <c r="H10" s="43">
        <v>4465302865</v>
      </c>
    </row>
    <row r="11" spans="1:8" x14ac:dyDescent="0.25">
      <c r="A11" s="24" t="s">
        <v>93</v>
      </c>
      <c r="B11" s="17">
        <v>25</v>
      </c>
      <c r="C11" s="17">
        <v>35</v>
      </c>
      <c r="D11" s="42">
        <f>VLOOKUP(B11,KQHDKD!$B$2:$E$25,4,0)</f>
        <v>873333584688</v>
      </c>
      <c r="E11" s="99">
        <f t="shared" si="0"/>
        <v>0.24900218833641749</v>
      </c>
      <c r="F11" s="41">
        <v>1090795558423</v>
      </c>
      <c r="G11" s="99">
        <f t="shared" si="1"/>
        <v>0.9435981443608501</v>
      </c>
      <c r="H11" s="43">
        <v>2120068223228</v>
      </c>
    </row>
    <row r="12" spans="1:8" x14ac:dyDescent="0.25">
      <c r="A12" s="24" t="s">
        <v>143</v>
      </c>
      <c r="B12" s="17">
        <v>26</v>
      </c>
      <c r="C12" s="17">
        <v>36</v>
      </c>
      <c r="D12" s="42">
        <f>VLOOKUP(B12,KQHDKD!$B$2:$E$25,4,0)</f>
        <v>569005805722</v>
      </c>
      <c r="E12" s="99">
        <f t="shared" si="0"/>
        <v>0.21316601209208075</v>
      </c>
      <c r="F12" s="41">
        <v>690298504185</v>
      </c>
      <c r="G12" s="99">
        <f t="shared" si="1"/>
        <v>0.91838971206012909</v>
      </c>
      <c r="H12" s="43">
        <v>1324261548679</v>
      </c>
    </row>
    <row r="13" spans="1:8" s="3" customFormat="1" ht="31.5" x14ac:dyDescent="0.25">
      <c r="A13" s="22" t="s">
        <v>94</v>
      </c>
      <c r="B13" s="12">
        <v>30</v>
      </c>
      <c r="C13" s="12"/>
      <c r="D13" s="42">
        <f>VLOOKUP(B13,KQHDKD!$B$2:$E$25,4,0)</f>
        <v>9030979639207</v>
      </c>
      <c r="E13" s="99">
        <f t="shared" si="0"/>
        <v>0.69331616501516102</v>
      </c>
      <c r="F13" s="41">
        <v>15292303808992</v>
      </c>
      <c r="G13" s="99">
        <f t="shared" si="1"/>
        <v>1.4200698539943819</v>
      </c>
      <c r="H13" s="41">
        <v>37008443446265</v>
      </c>
    </row>
    <row r="14" spans="1:8" x14ac:dyDescent="0.25">
      <c r="A14" s="24" t="s">
        <v>95</v>
      </c>
      <c r="B14" s="17">
        <v>31</v>
      </c>
      <c r="C14" s="17">
        <v>37</v>
      </c>
      <c r="D14" s="42">
        <f>VLOOKUP(B14,KQHDKD!$B$2:$E$25,4,0)</f>
        <v>657680931477</v>
      </c>
      <c r="E14" s="99">
        <f t="shared" si="0"/>
        <v>-5.473166515434974E-3</v>
      </c>
      <c r="F14" s="41">
        <v>654081334225</v>
      </c>
      <c r="G14" s="99">
        <f t="shared" si="1"/>
        <v>0.21799241812785275</v>
      </c>
      <c r="H14" s="43">
        <v>796666105925</v>
      </c>
    </row>
    <row r="15" spans="1:8" x14ac:dyDescent="0.25">
      <c r="A15" s="24" t="s">
        <v>96</v>
      </c>
      <c r="B15" s="17">
        <v>32</v>
      </c>
      <c r="C15" s="17">
        <v>38</v>
      </c>
      <c r="D15" s="42">
        <f>VLOOKUP(B15,KQHDKD!$B$2:$E$25,4,0)</f>
        <v>591998447298</v>
      </c>
      <c r="E15" s="99">
        <f t="shared" si="0"/>
        <v>-4.3582813329597E-3</v>
      </c>
      <c r="F15" s="41">
        <v>589418351516</v>
      </c>
      <c r="G15" s="99">
        <f t="shared" si="1"/>
        <v>-0.99873038931333702</v>
      </c>
      <c r="H15" s="43">
        <v>748331838</v>
      </c>
    </row>
    <row r="16" spans="1:8" s="3" customFormat="1" ht="31.5" x14ac:dyDescent="0.25">
      <c r="A16" s="22" t="s">
        <v>97</v>
      </c>
      <c r="B16" s="12">
        <v>40</v>
      </c>
      <c r="C16" s="12"/>
      <c r="D16" s="42">
        <f>VLOOKUP(B16,KQHDKD!$B$2:$E$25,4,0)</f>
        <v>65682484179</v>
      </c>
      <c r="E16" s="99">
        <f t="shared" si="0"/>
        <v>-1.5521664302793756E-2</v>
      </c>
      <c r="F16" s="41">
        <v>64662982709</v>
      </c>
      <c r="G16" s="99">
        <f t="shared" si="1"/>
        <v>-0.25252028440264507</v>
      </c>
      <c r="H16" s="41">
        <v>48334267925</v>
      </c>
    </row>
    <row r="17" spans="1:8" s="3" customFormat="1" ht="31.5" x14ac:dyDescent="0.25">
      <c r="A17" s="22" t="s">
        <v>98</v>
      </c>
      <c r="B17" s="12">
        <v>50</v>
      </c>
      <c r="C17" s="12"/>
      <c r="D17" s="42">
        <f>VLOOKUP(B17,KQHDKD!$B$2:$E$25,4,0)</f>
        <v>9096662123386</v>
      </c>
      <c r="E17" s="99">
        <f t="shared" si="0"/>
        <v>0.6881979987165624</v>
      </c>
      <c r="F17" s="41">
        <v>15356966791701</v>
      </c>
      <c r="G17" s="99">
        <f t="shared" si="1"/>
        <v>1.413027143759646</v>
      </c>
      <c r="H17" s="41">
        <v>37056777714190</v>
      </c>
    </row>
    <row r="18" spans="1:8" s="3" customFormat="1" x14ac:dyDescent="0.25">
      <c r="A18" s="22" t="s">
        <v>99</v>
      </c>
      <c r="B18" s="12">
        <v>51</v>
      </c>
      <c r="C18" s="12">
        <v>40</v>
      </c>
      <c r="D18" s="42">
        <f>VLOOKUP(B18,KQHDKD!$B$2:$E$25,4,0)</f>
        <v>1603307926680</v>
      </c>
      <c r="E18" s="99">
        <f t="shared" si="0"/>
        <v>0.11305371486645009</v>
      </c>
      <c r="F18" s="41">
        <v>1784567843866</v>
      </c>
      <c r="G18" s="99">
        <f t="shared" si="1"/>
        <v>0.59999876551703679</v>
      </c>
      <c r="H18" s="41">
        <v>2855306347167</v>
      </c>
    </row>
    <row r="19" spans="1:8" s="3" customFormat="1" x14ac:dyDescent="0.25">
      <c r="A19" s="22" t="s">
        <v>100</v>
      </c>
      <c r="B19" s="12">
        <v>52</v>
      </c>
      <c r="C19" s="12">
        <v>40</v>
      </c>
      <c r="D19" s="42">
        <f>VLOOKUP(B19,KQHDKD!$B$2:$E$25,4,0)</f>
        <v>-84894039523</v>
      </c>
      <c r="E19" s="99">
        <f t="shared" si="0"/>
        <v>-1.780206611679201</v>
      </c>
      <c r="F19" s="41">
        <v>66234890928</v>
      </c>
      <c r="G19" s="99">
        <f t="shared" si="1"/>
        <v>-5.8234934760033275</v>
      </c>
      <c r="H19" s="41">
        <v>-319483564275</v>
      </c>
    </row>
    <row r="20" spans="1:8" s="3" customFormat="1" ht="31.5" x14ac:dyDescent="0.25">
      <c r="A20" s="22" t="s">
        <v>101</v>
      </c>
      <c r="B20" s="12">
        <v>60</v>
      </c>
      <c r="C20" s="12"/>
      <c r="D20" s="42">
        <f>VLOOKUP(B20,KQHDKD!$B$2:$E$25,4,0)</f>
        <v>7578248236229</v>
      </c>
      <c r="E20" s="99">
        <f t="shared" si="0"/>
        <v>0.78222771752694398</v>
      </c>
      <c r="F20" s="41">
        <v>13506164056907</v>
      </c>
      <c r="G20" s="99">
        <f t="shared" si="1"/>
        <v>1.5559407383063821</v>
      </c>
      <c r="H20" s="41">
        <v>34520954931298</v>
      </c>
    </row>
    <row r="21" spans="1:8" s="3" customFormat="1" x14ac:dyDescent="0.25">
      <c r="A21" s="22" t="s">
        <v>103</v>
      </c>
      <c r="B21" s="12"/>
      <c r="C21" s="12"/>
      <c r="D21" s="42"/>
      <c r="E21" s="99"/>
      <c r="F21" s="41"/>
      <c r="G21" s="99"/>
      <c r="H21" s="44"/>
    </row>
    <row r="22" spans="1:8" x14ac:dyDescent="0.25">
      <c r="A22" s="24" t="s">
        <v>105</v>
      </c>
      <c r="B22" s="17">
        <v>61</v>
      </c>
      <c r="C22" s="17"/>
      <c r="D22" s="43">
        <f>VLOOKUP(B22,KQHDKD!$B$2:$E$25,4,0)</f>
        <v>7527442867874</v>
      </c>
      <c r="E22" s="99">
        <f t="shared" si="0"/>
        <v>0.78683522265122308</v>
      </c>
      <c r="F22" s="41">
        <v>13450300052812</v>
      </c>
      <c r="G22" s="99">
        <f t="shared" si="1"/>
        <v>1.5633735353176597</v>
      </c>
      <c r="H22" s="43">
        <v>34478143197460</v>
      </c>
    </row>
    <row r="23" spans="1:8" x14ac:dyDescent="0.25">
      <c r="A23" s="24" t="s">
        <v>106</v>
      </c>
      <c r="B23" s="17">
        <v>62</v>
      </c>
      <c r="C23" s="17"/>
      <c r="D23" s="43">
        <f>VLOOKUP(B23,KQHDKD!$B$2:$E$25,4,0)</f>
        <v>50805368355</v>
      </c>
      <c r="E23" s="99">
        <f t="shared" si="0"/>
        <v>9.9568921627593232E-2</v>
      </c>
      <c r="F23" s="41">
        <v>55864004095</v>
      </c>
      <c r="G23" s="99">
        <f t="shared" si="1"/>
        <v>-0.23364365781593194</v>
      </c>
      <c r="H23" s="43">
        <v>42811733838</v>
      </c>
    </row>
    <row r="24" spans="1:8" x14ac:dyDescent="0.25">
      <c r="A24" s="24"/>
      <c r="B24" s="17"/>
      <c r="C24" s="17"/>
      <c r="D24" s="103"/>
      <c r="E24" s="99"/>
      <c r="F24" s="41"/>
      <c r="G24" s="99"/>
      <c r="H24" s="102" t="s">
        <v>102</v>
      </c>
    </row>
    <row r="25" spans="1:8" x14ac:dyDescent="0.25">
      <c r="A25" s="24" t="s">
        <v>104</v>
      </c>
      <c r="B25" s="17">
        <v>70</v>
      </c>
      <c r="C25" s="17">
        <v>41</v>
      </c>
      <c r="D25" s="43">
        <f>VLOOKUP(B25,KQHDKD!$B$2:$E$25,4,0)</f>
        <v>2074</v>
      </c>
      <c r="E25" s="99">
        <f t="shared" si="0"/>
        <v>0.31533269045323048</v>
      </c>
      <c r="F25" s="41">
        <v>2728</v>
      </c>
      <c r="G25" s="99">
        <f t="shared" si="1"/>
        <v>1.6268328445747802</v>
      </c>
      <c r="H25" s="43">
        <v>7166</v>
      </c>
    </row>
  </sheetData>
  <conditionalFormatting sqref="D2:D25 F2:F25 H2:H25">
    <cfRule type="cellIs" dxfId="0" priority="3" operator="lessThan">
      <formula>0</formula>
    </cfRule>
  </conditionalFormatting>
  <conditionalFormatting sqref="E2:E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1" sqref="E1"/>
    </sheetView>
  </sheetViews>
  <sheetFormatPr defaultRowHeight="15" x14ac:dyDescent="0.25"/>
  <cols>
    <col min="4" max="4" width="21" bestFit="1" customWidth="1"/>
    <col min="5" max="5" width="20.7109375" bestFit="1" customWidth="1"/>
  </cols>
  <sheetData>
    <row r="1" spans="1:5" ht="31.5" x14ac:dyDescent="0.25">
      <c r="A1" s="12"/>
      <c r="B1" s="12" t="s">
        <v>80</v>
      </c>
      <c r="C1" s="12" t="s">
        <v>81</v>
      </c>
      <c r="D1" s="15" t="s">
        <v>83</v>
      </c>
      <c r="E1" s="15" t="s">
        <v>155</v>
      </c>
    </row>
    <row r="2" spans="1:5" ht="94.5" x14ac:dyDescent="0.25">
      <c r="A2" s="22" t="s">
        <v>84</v>
      </c>
      <c r="B2" s="38">
        <v>1</v>
      </c>
      <c r="C2" s="12">
        <v>30</v>
      </c>
      <c r="D2" s="15">
        <v>91279041771826</v>
      </c>
      <c r="E2" s="15">
        <v>64677906575644</v>
      </c>
    </row>
    <row r="3" spans="1:5" ht="78.75" x14ac:dyDescent="0.25">
      <c r="A3" s="22" t="s">
        <v>85</v>
      </c>
      <c r="B3" s="12">
        <v>2</v>
      </c>
      <c r="C3" s="12">
        <v>30</v>
      </c>
      <c r="D3" s="15">
        <v>1160538345109</v>
      </c>
      <c r="E3" s="15">
        <v>1019713901853</v>
      </c>
    </row>
    <row r="4" spans="1:5" ht="157.5" x14ac:dyDescent="0.25">
      <c r="A4" s="22" t="s">
        <v>86</v>
      </c>
      <c r="B4" s="12">
        <v>10</v>
      </c>
      <c r="C4" s="12">
        <v>30</v>
      </c>
      <c r="D4" s="15">
        <v>90118503426717</v>
      </c>
      <c r="E4" s="15">
        <v>63658192673791</v>
      </c>
    </row>
    <row r="5" spans="1:5" ht="94.5" x14ac:dyDescent="0.25">
      <c r="A5" s="22" t="s">
        <v>87</v>
      </c>
      <c r="B5" s="12">
        <v>11</v>
      </c>
      <c r="C5" s="12">
        <v>31</v>
      </c>
      <c r="D5" s="15">
        <v>71214453522563</v>
      </c>
      <c r="E5" s="15">
        <v>52472820451654</v>
      </c>
    </row>
    <row r="6" spans="1:5" ht="78.75" x14ac:dyDescent="0.25">
      <c r="A6" s="22" t="s">
        <v>156</v>
      </c>
      <c r="B6" s="12">
        <v>20</v>
      </c>
      <c r="C6" s="12"/>
      <c r="D6" s="15">
        <v>18904049904154</v>
      </c>
      <c r="E6" s="15">
        <v>11185372222137</v>
      </c>
    </row>
    <row r="7" spans="1:5" ht="63" x14ac:dyDescent="0.25">
      <c r="A7" s="24" t="s">
        <v>89</v>
      </c>
      <c r="B7" s="17">
        <v>21</v>
      </c>
      <c r="C7" s="17">
        <v>32</v>
      </c>
      <c r="D7" s="18">
        <v>1004789766270</v>
      </c>
      <c r="E7" s="18">
        <v>471053832011</v>
      </c>
    </row>
    <row r="8" spans="1:5" ht="31.5" x14ac:dyDescent="0.25">
      <c r="A8" s="24" t="s">
        <v>90</v>
      </c>
      <c r="B8" s="17">
        <v>22</v>
      </c>
      <c r="C8" s="17">
        <v>33</v>
      </c>
      <c r="D8" s="18">
        <v>2837406430588</v>
      </c>
      <c r="E8" s="18">
        <v>1181675710916</v>
      </c>
    </row>
    <row r="9" spans="1:5" ht="63" x14ac:dyDescent="0.25">
      <c r="A9" s="26" t="s">
        <v>91</v>
      </c>
      <c r="B9" s="29">
        <v>23</v>
      </c>
      <c r="C9" s="29"/>
      <c r="D9" s="30">
        <v>2191680923417</v>
      </c>
      <c r="E9" s="30">
        <v>936710218359</v>
      </c>
    </row>
    <row r="10" spans="1:5" ht="63" x14ac:dyDescent="0.25">
      <c r="A10" s="24" t="s">
        <v>92</v>
      </c>
      <c r="B10" s="17">
        <v>24</v>
      </c>
      <c r="C10" s="17"/>
      <c r="D10" s="18">
        <v>1964631764</v>
      </c>
      <c r="E10" s="18">
        <v>-1431313615</v>
      </c>
    </row>
    <row r="11" spans="1:5" ht="31.5" x14ac:dyDescent="0.25">
      <c r="A11" s="24" t="s">
        <v>93</v>
      </c>
      <c r="B11" s="17">
        <v>25</v>
      </c>
      <c r="C11" s="17">
        <v>34</v>
      </c>
      <c r="D11" s="18">
        <v>1090795558423</v>
      </c>
      <c r="E11" s="18">
        <v>873333584688</v>
      </c>
    </row>
    <row r="12" spans="1:5" ht="63" x14ac:dyDescent="0.25">
      <c r="A12" s="24" t="s">
        <v>143</v>
      </c>
      <c r="B12" s="17">
        <v>26</v>
      </c>
      <c r="C12" s="17">
        <v>35</v>
      </c>
      <c r="D12" s="18">
        <v>690298504185</v>
      </c>
      <c r="E12" s="18">
        <v>569005805722</v>
      </c>
    </row>
    <row r="13" spans="1:5" ht="173.25" x14ac:dyDescent="0.25">
      <c r="A13" s="22" t="s">
        <v>157</v>
      </c>
      <c r="B13" s="12">
        <v>30</v>
      </c>
      <c r="C13" s="12"/>
      <c r="D13" s="15">
        <v>15292303808992</v>
      </c>
      <c r="E13" s="15">
        <v>9030979639207</v>
      </c>
    </row>
    <row r="14" spans="1:5" ht="31.5" x14ac:dyDescent="0.25">
      <c r="A14" s="24" t="s">
        <v>95</v>
      </c>
      <c r="B14" s="17">
        <v>31</v>
      </c>
      <c r="C14" s="17">
        <v>36</v>
      </c>
      <c r="D14" s="18">
        <v>654081334225</v>
      </c>
      <c r="E14" s="18">
        <v>657680931477</v>
      </c>
    </row>
    <row r="15" spans="1:5" ht="31.5" x14ac:dyDescent="0.25">
      <c r="A15" s="24" t="s">
        <v>96</v>
      </c>
      <c r="B15" s="17">
        <v>32</v>
      </c>
      <c r="C15" s="17">
        <v>37</v>
      </c>
      <c r="D15" s="18">
        <v>589418351516</v>
      </c>
      <c r="E15" s="18">
        <v>591998447298</v>
      </c>
    </row>
    <row r="16" spans="1:5" ht="94.5" x14ac:dyDescent="0.25">
      <c r="A16" s="22" t="s">
        <v>158</v>
      </c>
      <c r="B16" s="12">
        <v>40</v>
      </c>
      <c r="C16" s="12"/>
      <c r="D16" s="15">
        <v>64662982709</v>
      </c>
      <c r="E16" s="15">
        <v>65682484179</v>
      </c>
    </row>
    <row r="17" spans="1:5" ht="110.25" x14ac:dyDescent="0.25">
      <c r="A17" s="22" t="s">
        <v>159</v>
      </c>
      <c r="B17" s="12">
        <v>50</v>
      </c>
      <c r="C17" s="12"/>
      <c r="D17" s="15">
        <v>15356966791701</v>
      </c>
      <c r="E17" s="15">
        <v>9096662123386</v>
      </c>
    </row>
    <row r="18" spans="1:5" ht="78.75" x14ac:dyDescent="0.25">
      <c r="A18" s="22" t="s">
        <v>99</v>
      </c>
      <c r="B18" s="12">
        <v>51</v>
      </c>
      <c r="C18" s="12">
        <v>39</v>
      </c>
      <c r="D18" s="15">
        <v>1784567843866</v>
      </c>
      <c r="E18" s="15">
        <v>1603307926680</v>
      </c>
    </row>
    <row r="19" spans="1:5" ht="78.75" x14ac:dyDescent="0.25">
      <c r="A19" s="22" t="s">
        <v>100</v>
      </c>
      <c r="B19" s="12">
        <v>52</v>
      </c>
      <c r="C19" s="12">
        <v>39</v>
      </c>
      <c r="D19" s="15">
        <v>66234890928</v>
      </c>
      <c r="E19" s="15">
        <v>-84894039523</v>
      </c>
    </row>
    <row r="20" spans="1:5" ht="94.5" x14ac:dyDescent="0.25">
      <c r="A20" s="22" t="s">
        <v>160</v>
      </c>
      <c r="B20" s="12">
        <v>60</v>
      </c>
      <c r="C20" s="12"/>
      <c r="D20" s="15">
        <v>13506164056907</v>
      </c>
      <c r="E20" s="15">
        <v>7578248236229</v>
      </c>
    </row>
    <row r="21" spans="1:5" ht="31.5" x14ac:dyDescent="0.25">
      <c r="A21" s="22" t="s">
        <v>103</v>
      </c>
      <c r="B21" s="12"/>
      <c r="C21" s="34"/>
      <c r="D21" s="39"/>
      <c r="E21" s="39"/>
    </row>
    <row r="22" spans="1:5" ht="47.25" x14ac:dyDescent="0.25">
      <c r="A22" s="24" t="s">
        <v>105</v>
      </c>
      <c r="B22" s="17">
        <v>61</v>
      </c>
      <c r="C22" s="35"/>
      <c r="D22" s="40">
        <v>13450300052812</v>
      </c>
      <c r="E22" s="40">
        <v>7527442867874</v>
      </c>
    </row>
    <row r="23" spans="1:5" ht="63" x14ac:dyDescent="0.25">
      <c r="A23" s="24" t="s">
        <v>106</v>
      </c>
      <c r="B23" s="17">
        <v>62</v>
      </c>
      <c r="C23" s="17"/>
      <c r="D23" s="18">
        <v>55864004095</v>
      </c>
      <c r="E23" s="18">
        <v>50805368355</v>
      </c>
    </row>
    <row r="24" spans="1:5" ht="15.75" x14ac:dyDescent="0.25">
      <c r="A24" s="24"/>
      <c r="B24" s="17"/>
      <c r="C24" s="17"/>
      <c r="D24" s="18"/>
      <c r="E24" s="15" t="s">
        <v>102</v>
      </c>
    </row>
    <row r="25" spans="1:5" ht="47.25" x14ac:dyDescent="0.25">
      <c r="A25" s="24" t="s">
        <v>104</v>
      </c>
      <c r="B25" s="17">
        <v>70</v>
      </c>
      <c r="C25" s="17">
        <v>40</v>
      </c>
      <c r="D25" s="18">
        <v>3846</v>
      </c>
      <c r="E25" s="18">
        <v>2074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0" zoomScaleNormal="100" workbookViewId="0">
      <selection sqref="A1:F38"/>
    </sheetView>
  </sheetViews>
  <sheetFormatPr defaultRowHeight="15.75" x14ac:dyDescent="0.25"/>
  <cols>
    <col min="1" max="1" width="33.85546875" style="9" customWidth="1"/>
    <col min="2" max="2" width="4.42578125" style="1" bestFit="1" customWidth="1"/>
    <col min="3" max="3" width="20.7109375" style="1" customWidth="1"/>
    <col min="4" max="4" width="24.140625" style="1" bestFit="1" customWidth="1"/>
    <col min="5" max="6" width="23" style="1" bestFit="1" customWidth="1"/>
    <col min="7" max="16384" width="9.140625" style="1"/>
  </cols>
  <sheetData>
    <row r="1" spans="1:6" s="10" customFormat="1" ht="28.5" x14ac:dyDescent="0.25">
      <c r="A1" s="45"/>
      <c r="B1" s="45" t="s">
        <v>80</v>
      </c>
      <c r="C1" s="45" t="s">
        <v>81</v>
      </c>
      <c r="D1" s="46" t="s">
        <v>82</v>
      </c>
      <c r="E1" s="46" t="s">
        <v>83</v>
      </c>
      <c r="F1" s="46" t="s">
        <v>155</v>
      </c>
    </row>
    <row r="2" spans="1:6" s="3" customFormat="1" ht="28.5" customHeight="1" x14ac:dyDescent="0.25">
      <c r="A2" s="111" t="s">
        <v>124</v>
      </c>
      <c r="B2" s="111"/>
      <c r="C2" s="111"/>
      <c r="D2" s="47"/>
      <c r="E2" s="47"/>
      <c r="F2" s="48"/>
    </row>
    <row r="3" spans="1:6" s="3" customFormat="1" ht="30.75" customHeight="1" x14ac:dyDescent="0.25">
      <c r="A3" s="49" t="s">
        <v>107</v>
      </c>
      <c r="B3" s="45">
        <v>1</v>
      </c>
      <c r="C3" s="50"/>
      <c r="D3" s="51">
        <v>37056777714190</v>
      </c>
      <c r="E3" s="51">
        <v>15356966791701</v>
      </c>
      <c r="F3" s="51">
        <f>VLOOKUP(B3,'ref cash flow'!$B$3:$E$37,4,0)</f>
        <v>9096662123386</v>
      </c>
    </row>
    <row r="4" spans="1:6" s="3" customFormat="1" x14ac:dyDescent="0.25">
      <c r="A4" s="49" t="s">
        <v>108</v>
      </c>
      <c r="B4" s="45"/>
      <c r="C4" s="50"/>
      <c r="D4" s="51"/>
      <c r="E4" s="51"/>
      <c r="F4" s="51"/>
    </row>
    <row r="5" spans="1:6" ht="30.75" customHeight="1" x14ac:dyDescent="0.25">
      <c r="A5" s="52" t="s">
        <v>109</v>
      </c>
      <c r="B5" s="53">
        <v>2</v>
      </c>
      <c r="C5" s="54"/>
      <c r="D5" s="51">
        <v>6076516295417</v>
      </c>
      <c r="E5" s="51">
        <v>4775781721269</v>
      </c>
      <c r="F5" s="51">
        <f>VLOOKUP(B5,'ref cash flow'!$B$3:$E$37,4,0)</f>
        <v>2566183420309</v>
      </c>
    </row>
    <row r="6" spans="1:6" x14ac:dyDescent="0.25">
      <c r="A6" s="52" t="s">
        <v>110</v>
      </c>
      <c r="B6" s="53">
        <v>2</v>
      </c>
      <c r="C6" s="54"/>
      <c r="D6" s="51">
        <v>5988000</v>
      </c>
      <c r="E6" s="51">
        <v>18075220852</v>
      </c>
      <c r="F6" s="51">
        <f>VLOOKUP(B6,'ref cash flow'!$B$3:$E$37,4,0)</f>
        <v>2566183420309</v>
      </c>
    </row>
    <row r="7" spans="1:6" x14ac:dyDescent="0.25">
      <c r="A7" s="52" t="s">
        <v>111</v>
      </c>
      <c r="B7" s="53">
        <v>3</v>
      </c>
      <c r="C7" s="54"/>
      <c r="D7" s="51">
        <v>163177531627</v>
      </c>
      <c r="E7" s="51">
        <v>28314185442</v>
      </c>
      <c r="F7" s="51">
        <f>VLOOKUP(B7,'ref cash flow'!$B$3:$E$37,4,0)</f>
        <v>-5772614376</v>
      </c>
    </row>
    <row r="8" spans="1:6" ht="30" x14ac:dyDescent="0.25">
      <c r="A8" s="52" t="s">
        <v>112</v>
      </c>
      <c r="B8" s="53">
        <v>4</v>
      </c>
      <c r="C8" s="54"/>
      <c r="D8" s="51">
        <v>41938831417</v>
      </c>
      <c r="E8" s="51">
        <v>52078870772</v>
      </c>
      <c r="F8" s="51">
        <f>VLOOKUP(B8,'ref cash flow'!$B$3:$E$37,4,0)</f>
        <v>24183514856</v>
      </c>
    </row>
    <row r="9" spans="1:6" x14ac:dyDescent="0.25">
      <c r="A9" s="52" t="s">
        <v>113</v>
      </c>
      <c r="B9" s="53">
        <v>5</v>
      </c>
      <c r="C9" s="54"/>
      <c r="D9" s="51">
        <v>-1661082595981</v>
      </c>
      <c r="E9" s="51">
        <v>-490559694590</v>
      </c>
      <c r="F9" s="51">
        <f>VLOOKUP(B9,'ref cash flow'!$B$3:$E$37,4,0)</f>
        <v>-286185193464</v>
      </c>
    </row>
    <row r="10" spans="1:6" x14ac:dyDescent="0.25">
      <c r="A10" s="52" t="s">
        <v>114</v>
      </c>
      <c r="B10" s="53">
        <v>6</v>
      </c>
      <c r="C10" s="54"/>
      <c r="D10" s="51">
        <v>2525823258237</v>
      </c>
      <c r="E10" s="51">
        <v>2191680923417</v>
      </c>
      <c r="F10" s="51">
        <f>VLOOKUP(B10,'ref cash flow'!$B$3:$E$37,4,0)</f>
        <v>936710218359</v>
      </c>
    </row>
    <row r="11" spans="1:6" s="3" customFormat="1" ht="45.75" customHeight="1" x14ac:dyDescent="0.25">
      <c r="A11" s="49" t="s">
        <v>115</v>
      </c>
      <c r="B11" s="45">
        <v>8</v>
      </c>
      <c r="C11" s="50"/>
      <c r="D11" s="51">
        <v>44209139034907</v>
      </c>
      <c r="E11" s="51">
        <v>21932338018863</v>
      </c>
      <c r="F11" s="51">
        <f>VLOOKUP(B11,'ref cash flow'!$B$3:$E$37,4,0)</f>
        <v>12358830621790</v>
      </c>
    </row>
    <row r="12" spans="1:6" x14ac:dyDescent="0.25">
      <c r="A12" s="52" t="s">
        <v>116</v>
      </c>
      <c r="B12" s="53">
        <v>9</v>
      </c>
      <c r="C12" s="54"/>
      <c r="D12" s="51">
        <v>-3039385771765</v>
      </c>
      <c r="E12" s="51">
        <v>-3374026162649</v>
      </c>
      <c r="F12" s="51">
        <f>VLOOKUP(B12,'ref cash flow'!$B$3:$E$37,4,0)</f>
        <v>-288519564021</v>
      </c>
    </row>
    <row r="13" spans="1:6" ht="30.75" customHeight="1" x14ac:dyDescent="0.25">
      <c r="A13" s="52" t="s">
        <v>117</v>
      </c>
      <c r="B13" s="53">
        <v>10</v>
      </c>
      <c r="C13" s="54"/>
      <c r="D13" s="51">
        <v>-16949192989135</v>
      </c>
      <c r="E13" s="51">
        <v>-7061024985401</v>
      </c>
      <c r="F13" s="51">
        <f>VLOOKUP(B13,'ref cash flow'!$B$3:$E$37,4,0)</f>
        <v>-5132237172021</v>
      </c>
    </row>
    <row r="14" spans="1:6" ht="30" x14ac:dyDescent="0.25">
      <c r="A14" s="52" t="s">
        <v>118</v>
      </c>
      <c r="B14" s="53">
        <v>11</v>
      </c>
      <c r="C14" s="54"/>
      <c r="D14" s="51">
        <v>9250111116260</v>
      </c>
      <c r="E14" s="51">
        <v>4251742399296</v>
      </c>
      <c r="F14" s="51">
        <f>VLOOKUP(B14,'ref cash flow'!$B$3:$E$37,4,0)</f>
        <v>3556649268254</v>
      </c>
    </row>
    <row r="15" spans="1:6" ht="45.75" customHeight="1" x14ac:dyDescent="0.25">
      <c r="A15" s="52" t="s">
        <v>119</v>
      </c>
      <c r="B15" s="53">
        <v>12</v>
      </c>
      <c r="C15" s="54"/>
      <c r="D15" s="51">
        <v>-813988306614</v>
      </c>
      <c r="E15" s="51">
        <v>-89041139127</v>
      </c>
      <c r="F15" s="51">
        <f>VLOOKUP(B15,'ref cash flow'!$B$3:$E$37,4,0)</f>
        <v>-8476974345</v>
      </c>
    </row>
    <row r="16" spans="1:6" x14ac:dyDescent="0.25">
      <c r="A16" s="52"/>
      <c r="B16" s="53"/>
      <c r="C16" s="54"/>
      <c r="D16" s="51">
        <v>32656683083653</v>
      </c>
      <c r="E16" s="51">
        <v>15659988130982</v>
      </c>
      <c r="F16" s="51">
        <v>10486246179657</v>
      </c>
    </row>
    <row r="17" spans="1:6" x14ac:dyDescent="0.25">
      <c r="A17" s="52" t="s">
        <v>120</v>
      </c>
      <c r="B17" s="53">
        <v>14</v>
      </c>
      <c r="C17" s="54"/>
      <c r="D17" s="51">
        <v>-2567276431082</v>
      </c>
      <c r="E17" s="51">
        <v>-2027572222288</v>
      </c>
      <c r="F17" s="51">
        <f>VLOOKUP(B17,'ref cash flow'!$B$3:$E$37,4,0)</f>
        <v>-867276241172</v>
      </c>
    </row>
    <row r="18" spans="1:6" x14ac:dyDescent="0.25">
      <c r="A18" s="52" t="s">
        <v>121</v>
      </c>
      <c r="B18" s="53">
        <v>15</v>
      </c>
      <c r="C18" s="54"/>
      <c r="D18" s="51">
        <v>-2743083962430</v>
      </c>
      <c r="E18" s="51">
        <v>-1716802619015</v>
      </c>
      <c r="F18" s="51">
        <f>VLOOKUP(B18,'ref cash flow'!$B$3:$E$37,4,0)</f>
        <v>-1551743688539</v>
      </c>
    </row>
    <row r="19" spans="1:6" ht="30" x14ac:dyDescent="0.25">
      <c r="A19" s="52" t="s">
        <v>122</v>
      </c>
      <c r="B19" s="53">
        <v>17</v>
      </c>
      <c r="C19" s="54"/>
      <c r="D19" s="51">
        <v>-625409387033</v>
      </c>
      <c r="E19" s="51">
        <v>-328363376705</v>
      </c>
      <c r="F19" s="51">
        <f>VLOOKUP(B19,'ref cash flow'!$B$3:$E$37,4,0)</f>
        <v>-352057555830</v>
      </c>
    </row>
    <row r="20" spans="1:6" s="3" customFormat="1" ht="28.5" x14ac:dyDescent="0.25">
      <c r="A20" s="49" t="s">
        <v>123</v>
      </c>
      <c r="B20" s="45">
        <v>20</v>
      </c>
      <c r="C20" s="50"/>
      <c r="D20" s="51">
        <v>26720913303108</v>
      </c>
      <c r="E20" s="51">
        <v>11587249912974</v>
      </c>
      <c r="F20" s="51">
        <f>VLOOKUP(B20,'ref cash flow'!$B$3:$E$37,4,0)</f>
        <v>7715168694116</v>
      </c>
    </row>
    <row r="21" spans="1:6" s="3" customFormat="1" ht="30" customHeight="1" x14ac:dyDescent="0.25">
      <c r="A21" s="112" t="s">
        <v>125</v>
      </c>
      <c r="B21" s="112"/>
      <c r="C21" s="112"/>
      <c r="D21" s="51"/>
      <c r="E21" s="51"/>
      <c r="F21" s="51"/>
    </row>
    <row r="22" spans="1:6" ht="30" x14ac:dyDescent="0.25">
      <c r="A22" s="55" t="s">
        <v>126</v>
      </c>
      <c r="B22" s="56">
        <v>21</v>
      </c>
      <c r="C22" s="54"/>
      <c r="D22" s="51">
        <v>-11621470092371</v>
      </c>
      <c r="E22" s="51">
        <v>-11915645555048</v>
      </c>
      <c r="F22" s="51">
        <f>VLOOKUP(B22,'ref cash flow'!$B$3:$E$37,4,0)</f>
        <v>-20825371574660</v>
      </c>
    </row>
    <row r="23" spans="1:6" ht="30" x14ac:dyDescent="0.25">
      <c r="A23" s="55" t="s">
        <v>127</v>
      </c>
      <c r="B23" s="56">
        <v>22</v>
      </c>
      <c r="C23" s="54"/>
      <c r="D23" s="51">
        <v>49348550223</v>
      </c>
      <c r="E23" s="51">
        <v>34418355881</v>
      </c>
      <c r="F23" s="51">
        <f>VLOOKUP(B23,'ref cash flow'!$B$3:$E$37,4,0)</f>
        <v>26937572033</v>
      </c>
    </row>
    <row r="24" spans="1:6" ht="30" x14ac:dyDescent="0.25">
      <c r="A24" s="55" t="s">
        <v>128</v>
      </c>
      <c r="B24" s="56">
        <v>23</v>
      </c>
      <c r="C24" s="54"/>
      <c r="D24" s="51">
        <v>-41061488333969</v>
      </c>
      <c r="E24" s="51">
        <v>-11971173251594</v>
      </c>
      <c r="F24" s="51">
        <f>VLOOKUP(B24,'ref cash flow'!$B$3:$E$37,4,0)</f>
        <v>-4467553072509</v>
      </c>
    </row>
    <row r="25" spans="1:6" ht="30" x14ac:dyDescent="0.25">
      <c r="A25" s="55" t="s">
        <v>129</v>
      </c>
      <c r="B25" s="56">
        <v>24</v>
      </c>
      <c r="C25" s="54"/>
      <c r="D25" s="51">
        <v>31076412522291</v>
      </c>
      <c r="E25" s="51">
        <v>5003441426581</v>
      </c>
      <c r="F25" s="51">
        <f>VLOOKUP(B25,'ref cash flow'!$B$3:$E$37,4,0)</f>
        <v>6832224480334</v>
      </c>
    </row>
    <row r="26" spans="1:6" ht="30" x14ac:dyDescent="0.25">
      <c r="A26" s="55" t="s">
        <v>130</v>
      </c>
      <c r="B26" s="56">
        <v>26</v>
      </c>
      <c r="C26" s="54"/>
      <c r="D26" s="51">
        <v>933829028281</v>
      </c>
      <c r="E26" s="51" t="s">
        <v>0</v>
      </c>
      <c r="F26" s="51" t="s">
        <v>0</v>
      </c>
    </row>
    <row r="27" spans="1:6" x14ac:dyDescent="0.25">
      <c r="A27" s="55" t="s">
        <v>131</v>
      </c>
      <c r="B27" s="56">
        <v>27</v>
      </c>
      <c r="C27" s="54"/>
      <c r="D27" s="51">
        <v>1053915562539</v>
      </c>
      <c r="E27" s="51">
        <v>353560779277</v>
      </c>
      <c r="F27" s="51">
        <f>VLOOKUP(B27,'ref cash flow'!$B$3:$E$37,4,0)</f>
        <v>369546551545</v>
      </c>
    </row>
    <row r="28" spans="1:6" s="3" customFormat="1" ht="28.5" x14ac:dyDescent="0.25">
      <c r="A28" s="57" t="s">
        <v>132</v>
      </c>
      <c r="B28" s="58">
        <v>30</v>
      </c>
      <c r="C28" s="50"/>
      <c r="D28" s="51">
        <v>19669452763006</v>
      </c>
      <c r="E28" s="51">
        <v>18495398244903</v>
      </c>
      <c r="F28" s="51">
        <f>VLOOKUP(B28,'ref cash flow'!$B$3:$E$37,4,0)</f>
        <v>-18064216043257</v>
      </c>
    </row>
    <row r="29" spans="1:6" s="3" customFormat="1" ht="31.5" customHeight="1" x14ac:dyDescent="0.25">
      <c r="A29" s="113" t="s">
        <v>142</v>
      </c>
      <c r="B29" s="114"/>
      <c r="C29" s="115"/>
      <c r="D29" s="51"/>
      <c r="E29" s="51"/>
      <c r="F29" s="51"/>
    </row>
    <row r="30" spans="1:6" ht="30" x14ac:dyDescent="0.25">
      <c r="A30" s="55" t="s">
        <v>133</v>
      </c>
      <c r="B30" s="56">
        <v>31</v>
      </c>
      <c r="C30" s="54"/>
      <c r="D30" s="51">
        <v>10630000000</v>
      </c>
      <c r="E30" s="51">
        <v>2700000000</v>
      </c>
      <c r="F30" s="51">
        <f>VLOOKUP(B30,'ref cash flow'!$B$3:$E$37,4,0)</f>
        <v>85000000</v>
      </c>
    </row>
    <row r="31" spans="1:6" x14ac:dyDescent="0.25">
      <c r="A31" s="55" t="s">
        <v>134</v>
      </c>
      <c r="B31" s="56">
        <v>33</v>
      </c>
      <c r="C31" s="54"/>
      <c r="D31" s="51">
        <v>123075421125272</v>
      </c>
      <c r="E31" s="51">
        <v>93074115401537</v>
      </c>
      <c r="F31" s="51">
        <f>VLOOKUP(B31,'ref cash flow'!$B$3:$E$37,4,0)</f>
        <v>67944184644118</v>
      </c>
    </row>
    <row r="32" spans="1:6" x14ac:dyDescent="0.25">
      <c r="A32" s="55" t="s">
        <v>135</v>
      </c>
      <c r="B32" s="56">
        <v>34</v>
      </c>
      <c r="C32" s="54"/>
      <c r="D32" s="51">
        <v>-121652859327347</v>
      </c>
      <c r="E32" s="51">
        <v>-65603640057528</v>
      </c>
      <c r="F32" s="51">
        <f>VLOOKUP(B32,'ref cash flow'!$B$3:$E$37,4,0)</f>
        <v>-55553681828677</v>
      </c>
    </row>
    <row r="33" spans="1:6" x14ac:dyDescent="0.25">
      <c r="A33" s="55" t="s">
        <v>136</v>
      </c>
      <c r="B33" s="56">
        <v>36</v>
      </c>
      <c r="C33" s="54"/>
      <c r="D33" s="51">
        <v>-1693086647969</v>
      </c>
      <c r="E33" s="51">
        <v>-1419473748756</v>
      </c>
      <c r="F33" s="51">
        <f>VLOOKUP(B33,'ref cash flow'!$B$3:$E$37,4,0)</f>
        <v>-12646859136</v>
      </c>
    </row>
    <row r="34" spans="1:6" s="3" customFormat="1" ht="28.5" x14ac:dyDescent="0.25">
      <c r="A34" s="57" t="s">
        <v>141</v>
      </c>
      <c r="B34" s="58">
        <v>40</v>
      </c>
      <c r="C34" s="50"/>
      <c r="D34" s="51">
        <v>1740105149956</v>
      </c>
      <c r="E34" s="51">
        <v>16053701595253</v>
      </c>
      <c r="F34" s="51">
        <f>VLOOKUP(B34,'ref cash flow'!$B$3:$E$37,4,0)</f>
        <v>12377940956305</v>
      </c>
    </row>
    <row r="35" spans="1:6" s="3" customFormat="1" ht="28.5" x14ac:dyDescent="0.25">
      <c r="A35" s="57" t="s">
        <v>137</v>
      </c>
      <c r="B35" s="58">
        <v>50</v>
      </c>
      <c r="C35" s="50"/>
      <c r="D35" s="51">
        <v>8791565690058</v>
      </c>
      <c r="E35" s="51">
        <v>9145553263324</v>
      </c>
      <c r="F35" s="51">
        <f>VLOOKUP(B35,'ref cash flow'!$B$3:$E$37,4,0)</f>
        <v>2028893607164</v>
      </c>
    </row>
    <row r="36" spans="1:6" s="3" customFormat="1" ht="28.5" x14ac:dyDescent="0.25">
      <c r="A36" s="57" t="s">
        <v>138</v>
      </c>
      <c r="B36" s="58">
        <v>60</v>
      </c>
      <c r="C36" s="50"/>
      <c r="D36" s="51">
        <v>13696099298228</v>
      </c>
      <c r="E36" s="51">
        <v>4544900252204</v>
      </c>
      <c r="F36" s="51">
        <f>VLOOKUP(B36,'ref cash flow'!$B$3:$E$37,4,0)</f>
        <v>2515617135457</v>
      </c>
    </row>
    <row r="37" spans="1:6" s="3" customFormat="1" ht="28.5" x14ac:dyDescent="0.25">
      <c r="A37" s="57" t="s">
        <v>139</v>
      </c>
      <c r="B37" s="58">
        <v>61</v>
      </c>
      <c r="C37" s="50"/>
      <c r="D37" s="51">
        <v>-16289426156</v>
      </c>
      <c r="E37" s="51">
        <v>5645782700</v>
      </c>
      <c r="F37" s="51">
        <f>VLOOKUP(B37,'ref cash flow'!$B$3:$E$37,4,0)</f>
        <v>389509583</v>
      </c>
    </row>
    <row r="38" spans="1:6" s="3" customFormat="1" ht="28.5" x14ac:dyDescent="0.25">
      <c r="A38" s="57" t="s">
        <v>140</v>
      </c>
      <c r="B38" s="58">
        <v>70</v>
      </c>
      <c r="C38" s="50"/>
      <c r="D38" s="51">
        <f>D37+D36+D35</f>
        <v>22471375562130</v>
      </c>
      <c r="E38" s="51">
        <f>E37+E36+E35</f>
        <v>13696099298228</v>
      </c>
      <c r="F38" s="51">
        <f>VLOOKUP(B38,'ref cash flow'!$B$3:$E$37,4,0)</f>
        <v>4544900252204</v>
      </c>
    </row>
  </sheetData>
  <mergeCells count="3">
    <mergeCell ref="A2:C2"/>
    <mergeCell ref="A21:C21"/>
    <mergeCell ref="A29:C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83"/>
  <sheetViews>
    <sheetView topLeftCell="A10" workbookViewId="0">
      <selection activeCell="E52" sqref="E52:M73"/>
    </sheetView>
  </sheetViews>
  <sheetFormatPr defaultRowHeight="15" x14ac:dyDescent="0.25"/>
  <cols>
    <col min="5" max="7" width="26.42578125" bestFit="1" customWidth="1"/>
    <col min="8" max="8" width="22.28515625" bestFit="1" customWidth="1"/>
    <col min="9" max="9" width="15.5703125" customWidth="1"/>
    <col min="11" max="11" width="19" bestFit="1" customWidth="1"/>
    <col min="12" max="12" width="18" customWidth="1"/>
    <col min="13" max="13" width="16.85546875" bestFit="1" customWidth="1"/>
    <col min="14" max="14" width="13.5703125" customWidth="1"/>
    <col min="15" max="15" width="13.5703125" bestFit="1" customWidth="1"/>
  </cols>
  <sheetData>
    <row r="3" spans="5:23" x14ac:dyDescent="0.25">
      <c r="E3" s="76" t="s">
        <v>165</v>
      </c>
      <c r="F3" s="77">
        <v>2019</v>
      </c>
      <c r="G3" s="77">
        <v>2020</v>
      </c>
      <c r="H3" s="77">
        <v>2021</v>
      </c>
      <c r="I3" t="s">
        <v>175</v>
      </c>
    </row>
    <row r="4" spans="5:23" x14ac:dyDescent="0.25">
      <c r="E4" s="77" t="s">
        <v>162</v>
      </c>
      <c r="F4" s="78">
        <f>Table2[[#This Row],[Column6]]/'Cân đối kt'!D52</f>
        <v>1.1279540973522568</v>
      </c>
      <c r="G4" s="78">
        <f>Table2[[#This Row],[Column5]]/'Cân đối kt'!F52</f>
        <v>1.0918137717140368</v>
      </c>
      <c r="H4" s="78">
        <f>Table2[[#This Row],[Column4]]/'Cân đối kt'!H52</f>
        <v>1.2817279677185263</v>
      </c>
      <c r="I4">
        <v>1.46</v>
      </c>
      <c r="L4" t="s">
        <v>165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T4" t="s">
        <v>165</v>
      </c>
      <c r="U4">
        <v>2019</v>
      </c>
      <c r="V4">
        <v>2020</v>
      </c>
      <c r="W4">
        <v>2021</v>
      </c>
    </row>
    <row r="5" spans="5:23" x14ac:dyDescent="0.25">
      <c r="E5" s="77" t="s">
        <v>163</v>
      </c>
      <c r="F5" s="78">
        <f>('Cân đối kt'!D4-'Cân đối kt'!D17)/'Cân đối kt'!D52</f>
        <v>0.4085729761172327</v>
      </c>
      <c r="G5" s="78">
        <f>('Cân đối kt'!F4-'Cân đối kt'!F17)/'Cân đối kt'!F52</f>
        <v>0.58605692219714445</v>
      </c>
      <c r="H5" s="78">
        <f>('Cân đối kt'!H4-'Cân đối kt'!H17)/'Cân đối kt'!H52</f>
        <v>0.70815205798530112</v>
      </c>
      <c r="I5">
        <v>0.83</v>
      </c>
      <c r="K5" s="74"/>
      <c r="L5" t="s">
        <v>162</v>
      </c>
      <c r="M5">
        <v>2.7223086402163812</v>
      </c>
      <c r="N5">
        <v>1.0918137717140368</v>
      </c>
      <c r="O5">
        <v>1.2817279677185263</v>
      </c>
      <c r="T5" t="s">
        <v>162</v>
      </c>
      <c r="U5">
        <v>0.83905554921866088</v>
      </c>
      <c r="V5">
        <v>1.0034478923367813</v>
      </c>
      <c r="W5">
        <v>1.2980100194823267</v>
      </c>
    </row>
    <row r="6" spans="5:23" x14ac:dyDescent="0.25">
      <c r="E6" s="77" t="s">
        <v>164</v>
      </c>
      <c r="F6" s="78">
        <f>'Cân đối kt'!D5/'Cân đối kt'!D52</f>
        <v>0.16842821196847763</v>
      </c>
      <c r="G6" s="78">
        <f>'Cân đối kt'!F5/'Cân đối kt'!F52</f>
        <v>0.26351211155706877</v>
      </c>
      <c r="H6" s="78">
        <f>'Cân đối kt'!H5/'Cân đối kt'!H52</f>
        <v>0.30590232558014813</v>
      </c>
      <c r="L6" s="73" t="s">
        <v>163</v>
      </c>
      <c r="M6" s="73">
        <v>2.0029275189813571</v>
      </c>
      <c r="N6" s="73">
        <v>0.58605692219714445</v>
      </c>
      <c r="O6">
        <v>0.70815205798530112</v>
      </c>
      <c r="T6" t="s">
        <v>163</v>
      </c>
      <c r="U6">
        <v>0.32029200410630776</v>
      </c>
      <c r="V6">
        <v>0.38905572238905572</v>
      </c>
      <c r="W6">
        <v>0.43876983022543836</v>
      </c>
    </row>
    <row r="7" spans="5:23" x14ac:dyDescent="0.25">
      <c r="F7" s="75"/>
      <c r="G7" s="73"/>
      <c r="H7" s="73"/>
      <c r="L7" s="73" t="s">
        <v>164</v>
      </c>
      <c r="M7" s="73">
        <v>0.16842821196847763</v>
      </c>
      <c r="N7" s="73">
        <v>0.26351211155706877</v>
      </c>
      <c r="O7">
        <v>0.30590232558014813</v>
      </c>
      <c r="T7" t="s">
        <v>164</v>
      </c>
      <c r="U7">
        <v>3.2964526063647769E-2</v>
      </c>
      <c r="V7">
        <v>6.3952841730619506E-2</v>
      </c>
      <c r="W7">
        <v>3.4302811021430561E-2</v>
      </c>
    </row>
    <row r="8" spans="5:23" x14ac:dyDescent="0.25">
      <c r="F8" s="73"/>
      <c r="G8" s="73"/>
      <c r="H8" s="73"/>
      <c r="L8" s="73"/>
      <c r="M8" s="73"/>
      <c r="N8" s="73"/>
    </row>
    <row r="9" spans="5:23" x14ac:dyDescent="0.25">
      <c r="E9" t="s">
        <v>166</v>
      </c>
      <c r="F9" s="73"/>
      <c r="G9" s="73"/>
      <c r="H9" s="73"/>
    </row>
    <row r="10" spans="5:23" x14ac:dyDescent="0.25">
      <c r="E10" s="76" t="s">
        <v>165</v>
      </c>
      <c r="F10" s="77">
        <v>2019</v>
      </c>
      <c r="G10" s="77">
        <v>2020</v>
      </c>
      <c r="H10" s="77">
        <v>2021</v>
      </c>
    </row>
    <row r="11" spans="5:23" x14ac:dyDescent="0.25">
      <c r="E11" s="77" t="s">
        <v>162</v>
      </c>
      <c r="F11" s="78">
        <f>F22/F21</f>
        <v>0.83905554921866088</v>
      </c>
      <c r="G11" s="78">
        <f>G22/G21</f>
        <v>1.0034478923367813</v>
      </c>
      <c r="H11" s="78">
        <f t="shared" ref="H11" si="0">H22/H21</f>
        <v>1.2980100194823267</v>
      </c>
      <c r="L11" s="77" t="s">
        <v>165</v>
      </c>
      <c r="M11" s="77" t="s">
        <v>162</v>
      </c>
      <c r="N11" s="78" t="s">
        <v>163</v>
      </c>
      <c r="O11" s="78" t="s">
        <v>164</v>
      </c>
      <c r="P11" s="77" t="s">
        <v>171</v>
      </c>
      <c r="R11" t="s">
        <v>165</v>
      </c>
      <c r="S11" t="s">
        <v>162</v>
      </c>
      <c r="T11" t="s">
        <v>163</v>
      </c>
      <c r="U11" t="s">
        <v>164</v>
      </c>
    </row>
    <row r="12" spans="5:23" x14ac:dyDescent="0.25">
      <c r="E12" s="77" t="s">
        <v>163</v>
      </c>
      <c r="F12" s="78">
        <f>(F22-F23)/F21</f>
        <v>0.32029200410630776</v>
      </c>
      <c r="G12" s="78">
        <f t="shared" ref="G12" si="1">(G22-G23)/G21</f>
        <v>0.38905572238905572</v>
      </c>
      <c r="H12" s="78">
        <f>(H22-H23)/H21</f>
        <v>0.43876983022543836</v>
      </c>
      <c r="L12" s="77">
        <v>2019</v>
      </c>
      <c r="M12" s="78">
        <v>2.7223086402163812</v>
      </c>
      <c r="N12" s="78">
        <v>2.0029275189813571</v>
      </c>
      <c r="O12" s="78">
        <v>0.16842821196847763</v>
      </c>
      <c r="P12" s="77" t="s">
        <v>172</v>
      </c>
      <c r="R12">
        <v>2019</v>
      </c>
      <c r="S12">
        <v>0.83905554921866088</v>
      </c>
      <c r="T12">
        <v>0.32029200410630776</v>
      </c>
      <c r="U12">
        <v>3.2964526063647769E-2</v>
      </c>
    </row>
    <row r="13" spans="5:23" x14ac:dyDescent="0.25">
      <c r="E13" s="77" t="s">
        <v>164</v>
      </c>
      <c r="F13" s="78">
        <f>F24/F21</f>
        <v>3.2964526063647769E-2</v>
      </c>
      <c r="G13" s="78">
        <f t="shared" ref="G13:H13" si="2">G24/G21</f>
        <v>6.3952841730619506E-2</v>
      </c>
      <c r="H13" s="78">
        <f t="shared" si="2"/>
        <v>3.4302811021430561E-2</v>
      </c>
      <c r="L13" s="77">
        <v>2020</v>
      </c>
      <c r="M13" s="78">
        <v>1.0918137717140368</v>
      </c>
      <c r="N13" s="78">
        <v>0.58605692219714445</v>
      </c>
      <c r="O13" s="78">
        <v>0.26351211155706877</v>
      </c>
      <c r="P13" s="77" t="s">
        <v>172</v>
      </c>
      <c r="R13">
        <v>2020</v>
      </c>
      <c r="S13">
        <v>1.0034478923367813</v>
      </c>
      <c r="T13">
        <v>0.38905572238905572</v>
      </c>
      <c r="U13">
        <v>6.3952841730619506E-2</v>
      </c>
    </row>
    <row r="14" spans="5:23" x14ac:dyDescent="0.25">
      <c r="F14" s="73"/>
      <c r="G14" s="73"/>
      <c r="H14" s="73"/>
      <c r="L14" s="77">
        <v>2021</v>
      </c>
      <c r="M14" s="78">
        <v>1.2817279677185263</v>
      </c>
      <c r="N14" s="78">
        <v>0.70815205798530112</v>
      </c>
      <c r="O14" s="78">
        <v>0.30590232558014813</v>
      </c>
      <c r="P14" s="77" t="s">
        <v>172</v>
      </c>
      <c r="R14">
        <v>2021</v>
      </c>
      <c r="S14">
        <v>1.2980100194823267</v>
      </c>
      <c r="T14">
        <v>0.43876983022543836</v>
      </c>
      <c r="U14">
        <v>3.4302811021430561E-2</v>
      </c>
    </row>
    <row r="15" spans="5:23" x14ac:dyDescent="0.25">
      <c r="F15" s="73"/>
      <c r="G15" s="73"/>
      <c r="H15" s="73"/>
      <c r="L15" s="77">
        <v>2019</v>
      </c>
      <c r="M15" s="78">
        <v>0.83905554921866088</v>
      </c>
      <c r="N15" s="78">
        <v>0.32029200410630776</v>
      </c>
      <c r="O15" s="78">
        <v>3.2964526063647769E-2</v>
      </c>
      <c r="P15" s="77" t="s">
        <v>173</v>
      </c>
    </row>
    <row r="16" spans="5:23" x14ac:dyDescent="0.25">
      <c r="F16" s="73"/>
      <c r="G16" s="73"/>
      <c r="H16" s="73"/>
      <c r="L16" s="77">
        <v>2020</v>
      </c>
      <c r="M16" s="78">
        <v>1.0034478923367813</v>
      </c>
      <c r="N16" s="78">
        <v>0.38905572238905572</v>
      </c>
      <c r="O16" s="78">
        <v>6.3952841730619506E-2</v>
      </c>
      <c r="P16" s="77" t="s">
        <v>173</v>
      </c>
    </row>
    <row r="17" spans="4:16" x14ac:dyDescent="0.25">
      <c r="F17" s="73"/>
      <c r="G17" s="73"/>
      <c r="H17" s="73"/>
      <c r="L17" s="77">
        <v>2021</v>
      </c>
      <c r="M17" s="78">
        <v>1.2980100194823267</v>
      </c>
      <c r="N17" s="78">
        <v>0.43876983022543836</v>
      </c>
      <c r="O17" s="78">
        <v>3.4302811021430561E-2</v>
      </c>
      <c r="P17" s="77" t="s">
        <v>173</v>
      </c>
    </row>
    <row r="18" spans="4:16" x14ac:dyDescent="0.25">
      <c r="F18" s="73"/>
      <c r="G18" s="73"/>
      <c r="H18" s="73"/>
    </row>
    <row r="19" spans="4:16" x14ac:dyDescent="0.25">
      <c r="F19" s="73"/>
      <c r="G19" s="73"/>
      <c r="H19" s="73"/>
    </row>
    <row r="20" spans="4:16" ht="15.75" thickBot="1" x14ac:dyDescent="0.3">
      <c r="E20" t="s">
        <v>166</v>
      </c>
      <c r="F20" s="72"/>
      <c r="G20" s="72"/>
      <c r="H20" s="72"/>
    </row>
    <row r="21" spans="4:16" ht="15.75" thickBot="1" x14ac:dyDescent="0.3">
      <c r="E21" t="s">
        <v>167</v>
      </c>
      <c r="F21" s="79">
        <v>8767</v>
      </c>
      <c r="G21" s="79">
        <v>8991</v>
      </c>
      <c r="H21" s="79">
        <v>14372</v>
      </c>
    </row>
    <row r="22" spans="4:16" ht="15.75" thickBot="1" x14ac:dyDescent="0.3">
      <c r="E22" t="s">
        <v>168</v>
      </c>
      <c r="F22" s="80">
        <v>7356</v>
      </c>
      <c r="G22" s="80">
        <v>9022</v>
      </c>
      <c r="H22" s="80">
        <v>18655</v>
      </c>
    </row>
    <row r="23" spans="4:16" ht="15.75" thickBot="1" x14ac:dyDescent="0.3">
      <c r="E23" t="s">
        <v>169</v>
      </c>
      <c r="F23" s="81">
        <v>4548</v>
      </c>
      <c r="G23" s="81">
        <v>5524</v>
      </c>
      <c r="H23" s="81">
        <v>12349</v>
      </c>
    </row>
    <row r="24" spans="4:16" x14ac:dyDescent="0.25">
      <c r="E24" t="s">
        <v>170</v>
      </c>
      <c r="F24" s="82">
        <v>289</v>
      </c>
      <c r="G24" s="82">
        <v>575</v>
      </c>
      <c r="H24" s="82">
        <v>493</v>
      </c>
    </row>
    <row r="28" spans="4:16" x14ac:dyDescent="0.25">
      <c r="J28" s="76" t="s">
        <v>177</v>
      </c>
      <c r="K28" s="77" t="s">
        <v>176</v>
      </c>
      <c r="L28" s="77" t="s">
        <v>175</v>
      </c>
    </row>
    <row r="29" spans="4:16" ht="15.75" x14ac:dyDescent="0.25">
      <c r="D29" t="s">
        <v>168</v>
      </c>
      <c r="E29" s="95">
        <v>30436936909894</v>
      </c>
      <c r="F29" s="83">
        <v>56747258197010</v>
      </c>
      <c r="G29" s="83">
        <v>94154859648304</v>
      </c>
      <c r="J29" s="77" t="s">
        <v>162</v>
      </c>
      <c r="K29" s="78">
        <v>1.2817279677185263</v>
      </c>
      <c r="L29" s="77">
        <v>1.46</v>
      </c>
    </row>
    <row r="30" spans="4:16" ht="15.75" x14ac:dyDescent="0.25">
      <c r="D30" t="s">
        <v>169</v>
      </c>
      <c r="E30" s="95">
        <v>19411922748095</v>
      </c>
      <c r="F30" s="95">
        <v>26286822229202</v>
      </c>
      <c r="G30" s="95">
        <v>42134493932210</v>
      </c>
      <c r="J30" s="77" t="s">
        <v>163</v>
      </c>
      <c r="K30" s="78">
        <v>0.70815205798530112</v>
      </c>
      <c r="L30" s="77">
        <v>0.83</v>
      </c>
    </row>
    <row r="31" spans="4:16" ht="15.75" x14ac:dyDescent="0.25">
      <c r="D31" t="s">
        <v>174</v>
      </c>
      <c r="E31" s="84">
        <v>26984198187977</v>
      </c>
      <c r="F31" s="85">
        <v>51975217447498</v>
      </c>
      <c r="G31" s="85">
        <v>73459315876441</v>
      </c>
    </row>
    <row r="34" spans="1:15" x14ac:dyDescent="0.25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</row>
    <row r="35" spans="1:15" x14ac:dyDescent="0.25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</row>
    <row r="38" spans="1:15" x14ac:dyDescent="0.25">
      <c r="E38" s="76" t="s">
        <v>165</v>
      </c>
      <c r="F38" s="77">
        <v>2019</v>
      </c>
      <c r="G38" s="77">
        <v>2020</v>
      </c>
      <c r="H38" s="77">
        <v>2021</v>
      </c>
      <c r="I38" t="s">
        <v>181</v>
      </c>
      <c r="L38" t="s">
        <v>165</v>
      </c>
      <c r="M38">
        <v>2019</v>
      </c>
      <c r="N38">
        <v>2020</v>
      </c>
      <c r="O38">
        <v>2021</v>
      </c>
    </row>
    <row r="39" spans="1:15" x14ac:dyDescent="0.25">
      <c r="E39" s="77" t="s">
        <v>178</v>
      </c>
      <c r="F39" s="78">
        <f>'bc kqhdkd'!D4/'Cân đối kt'!D82</f>
        <v>0.6254733320930892</v>
      </c>
      <c r="G39" s="78">
        <f>'bc kqhdkd'!F4/'Cân đối kt'!F82</f>
        <v>0.68525222803262553</v>
      </c>
      <c r="H39" s="78">
        <f>'bc kqhdkd'!H4/'Cân đối kt'!H82</f>
        <v>0.8397822846695937</v>
      </c>
      <c r="L39" t="s">
        <v>178</v>
      </c>
      <c r="M39">
        <v>0.6254733320930892</v>
      </c>
      <c r="N39">
        <v>0.68525222803262553</v>
      </c>
      <c r="O39">
        <v>0.8397822846695937</v>
      </c>
    </row>
    <row r="40" spans="1:15" x14ac:dyDescent="0.25">
      <c r="E40" s="77" t="s">
        <v>179</v>
      </c>
      <c r="F40" s="78">
        <f>'bc kqhdkd'!D5/(('Cân đối kt'!J17+'Cân đối kt'!D17)/2)</f>
        <v>3.1301770996759353</v>
      </c>
      <c r="G40" s="78">
        <f>'bc kqhdkd'!F5/('Cân đối kt'!D17+'Cân đối kt'!F17)*2</f>
        <v>3.1166918723016193</v>
      </c>
      <c r="H40" s="78">
        <f>'bc kqhdkd'!H5/('Cân đối kt'!H17+'Cân đối kt'!F17)*2</f>
        <v>3.1736127434387087</v>
      </c>
      <c r="I40" s="78">
        <v>4.1100000000000003</v>
      </c>
      <c r="L40" t="s">
        <v>179</v>
      </c>
      <c r="M40">
        <v>3.1301770996759353</v>
      </c>
      <c r="N40">
        <v>3.1166918723016193</v>
      </c>
      <c r="O40">
        <v>3.1736127434387087</v>
      </c>
    </row>
    <row r="41" spans="1:15" x14ac:dyDescent="0.25">
      <c r="E41" s="77" t="s">
        <v>180</v>
      </c>
      <c r="F41" s="78">
        <f>360/F40</f>
        <v>115.009467048133</v>
      </c>
      <c r="G41" s="78">
        <f t="shared" ref="G41:H41" si="3">360/G40</f>
        <v>115.50708724187953</v>
      </c>
      <c r="H41" s="78">
        <f t="shared" si="3"/>
        <v>113.4353902328766</v>
      </c>
      <c r="L41" t="s">
        <v>180</v>
      </c>
      <c r="M41">
        <v>115.009467048133</v>
      </c>
      <c r="N41">
        <v>115.50708724187953</v>
      </c>
      <c r="O41">
        <v>113.4353902328766</v>
      </c>
    </row>
    <row r="44" spans="1:15" x14ac:dyDescent="0.25">
      <c r="L44" t="s">
        <v>165</v>
      </c>
      <c r="M44" t="s">
        <v>178</v>
      </c>
      <c r="N44" t="s">
        <v>179</v>
      </c>
      <c r="O44" t="s">
        <v>180</v>
      </c>
    </row>
    <row r="45" spans="1:15" x14ac:dyDescent="0.25">
      <c r="E45" s="77" t="s">
        <v>177</v>
      </c>
      <c r="F45" s="77" t="s">
        <v>182</v>
      </c>
      <c r="G45" s="77" t="s">
        <v>183</v>
      </c>
      <c r="L45">
        <v>2019</v>
      </c>
      <c r="M45">
        <v>0.6254733320930892</v>
      </c>
      <c r="N45">
        <v>3.1301770996759353</v>
      </c>
      <c r="O45">
        <v>115.009467048133</v>
      </c>
    </row>
    <row r="46" spans="1:15" x14ac:dyDescent="0.25">
      <c r="E46" s="77" t="s">
        <v>180</v>
      </c>
      <c r="F46" s="78">
        <v>113.4353902328766</v>
      </c>
      <c r="G46" s="78">
        <f>360/I40</f>
        <v>87.591240875912405</v>
      </c>
      <c r="L46">
        <v>2020</v>
      </c>
      <c r="M46">
        <v>0.68525222803262553</v>
      </c>
      <c r="N46">
        <v>3.1166918723016193</v>
      </c>
      <c r="O46">
        <v>115.50708724187953</v>
      </c>
    </row>
    <row r="47" spans="1:15" x14ac:dyDescent="0.25">
      <c r="L47">
        <v>2021</v>
      </c>
      <c r="M47">
        <v>0.8397822846695937</v>
      </c>
      <c r="N47">
        <v>3.1736127434387087</v>
      </c>
      <c r="O47">
        <v>113.4353902328766</v>
      </c>
    </row>
    <row r="49" spans="1:15" x14ac:dyDescent="0.25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</row>
    <row r="50" spans="1:15" x14ac:dyDescent="0.25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</row>
    <row r="52" spans="1:15" x14ac:dyDescent="0.25">
      <c r="E52" s="76" t="s">
        <v>165</v>
      </c>
      <c r="F52" s="77">
        <v>2019</v>
      </c>
      <c r="G52" s="77">
        <v>2020</v>
      </c>
      <c r="H52" s="77">
        <v>2021</v>
      </c>
      <c r="J52" t="s">
        <v>165</v>
      </c>
      <c r="K52">
        <v>2019</v>
      </c>
      <c r="L52">
        <v>2020</v>
      </c>
      <c r="M52">
        <v>2021</v>
      </c>
    </row>
    <row r="53" spans="1:15" x14ac:dyDescent="0.25">
      <c r="E53" s="77" t="s">
        <v>184</v>
      </c>
      <c r="F53" s="105">
        <f>'bc kqhdkd'!D17+'bc kqhdkd'!D9</f>
        <v>10033372341745</v>
      </c>
      <c r="G53" s="105">
        <f>'bc kqhdkd'!F17+'bc kqhdkd'!F9</f>
        <v>17548647715118</v>
      </c>
      <c r="H53" s="105">
        <f>'bc kqhdkd'!H17+'bc kqhdkd'!H9</f>
        <v>39582600972427</v>
      </c>
      <c r="J53" t="s">
        <v>184</v>
      </c>
      <c r="K53">
        <v>10033372341745</v>
      </c>
      <c r="L53">
        <v>17548647715118</v>
      </c>
      <c r="M53">
        <v>39582600972427</v>
      </c>
    </row>
    <row r="54" spans="1:15" x14ac:dyDescent="0.25">
      <c r="E54" s="77" t="s">
        <v>185</v>
      </c>
      <c r="F54" s="105">
        <f>'bc kqhdkd'!D9</f>
        <v>936710218359</v>
      </c>
      <c r="G54" s="105">
        <f>'bc kqhdkd'!F9</f>
        <v>2191680923417</v>
      </c>
      <c r="H54" s="105">
        <f>'bc kqhdkd'!H9</f>
        <v>2525823258237</v>
      </c>
      <c r="J54" t="s">
        <v>185</v>
      </c>
      <c r="K54">
        <v>936710218359</v>
      </c>
      <c r="L54">
        <v>2191680923417</v>
      </c>
      <c r="M54">
        <v>2525823258237</v>
      </c>
    </row>
    <row r="55" spans="1:15" x14ac:dyDescent="0.25">
      <c r="E55" s="77" t="s">
        <v>186</v>
      </c>
      <c r="F55" s="78">
        <f>F53/F54</f>
        <v>10.711287381194818</v>
      </c>
      <c r="G55" s="78">
        <f t="shared" ref="G55:H55" si="4">G53/G54</f>
        <v>8.0069354656599838</v>
      </c>
      <c r="H55" s="78">
        <f t="shared" si="4"/>
        <v>15.671168140266184</v>
      </c>
      <c r="J55" t="s">
        <v>186</v>
      </c>
      <c r="K55">
        <v>10.711287381194818</v>
      </c>
      <c r="L55">
        <v>8.0069354656599838</v>
      </c>
      <c r="M55">
        <v>15.671168140266184</v>
      </c>
    </row>
    <row r="57" spans="1:15" x14ac:dyDescent="0.25">
      <c r="E57" s="77" t="s">
        <v>187</v>
      </c>
      <c r="F57" s="77">
        <v>2019</v>
      </c>
      <c r="G57" s="77">
        <v>2020</v>
      </c>
      <c r="H57" s="77">
        <v>2021</v>
      </c>
      <c r="J57" t="s">
        <v>165</v>
      </c>
      <c r="K57" t="s">
        <v>184</v>
      </c>
      <c r="L57" t="s">
        <v>185</v>
      </c>
      <c r="M57" t="s">
        <v>186</v>
      </c>
    </row>
    <row r="58" spans="1:15" x14ac:dyDescent="0.25">
      <c r="E58" s="77" t="s">
        <v>188</v>
      </c>
      <c r="F58" s="105">
        <f>'Cân đối kt'!D82</f>
        <v>101776030099900</v>
      </c>
      <c r="G58" s="105">
        <f>'Cân đối kt'!F82</f>
        <v>131511434388837</v>
      </c>
      <c r="H58" s="105">
        <f>'Cân đối kt'!H82</f>
        <v>178236422358249</v>
      </c>
      <c r="J58">
        <v>2019</v>
      </c>
      <c r="K58" s="106">
        <v>10033372341745</v>
      </c>
      <c r="L58" s="106">
        <v>936710218359</v>
      </c>
      <c r="M58">
        <v>10.711287381194818</v>
      </c>
    </row>
    <row r="59" spans="1:15" x14ac:dyDescent="0.25">
      <c r="E59" s="77" t="s">
        <v>189</v>
      </c>
      <c r="F59" s="105">
        <f>'Cân đối kt'!D51</f>
        <v>53989393956205</v>
      </c>
      <c r="G59" s="105">
        <f>'Cân đối kt'!F51</f>
        <v>72291648082726</v>
      </c>
      <c r="H59" s="105">
        <f>'Cân đối kt'!H51</f>
        <v>87455796846810</v>
      </c>
      <c r="J59">
        <v>2020</v>
      </c>
      <c r="K59" s="106">
        <v>17548647715118</v>
      </c>
      <c r="L59" s="106">
        <v>2191680923417</v>
      </c>
      <c r="M59">
        <v>8.0069354656599838</v>
      </c>
    </row>
    <row r="60" spans="1:15" x14ac:dyDescent="0.25">
      <c r="E60" s="77" t="s">
        <v>190</v>
      </c>
      <c r="F60" s="105">
        <f>'Cân đối kt'!D71</f>
        <v>47786636143695</v>
      </c>
      <c r="G60" s="105">
        <f>'Cân đối kt'!F71</f>
        <v>59219786306111</v>
      </c>
      <c r="H60" s="105">
        <f>'Cân đối kt'!H71</f>
        <v>90780625511439</v>
      </c>
      <c r="J60">
        <v>2021</v>
      </c>
      <c r="K60" s="106">
        <v>39582600972427</v>
      </c>
      <c r="L60" s="106">
        <v>2525823258237</v>
      </c>
      <c r="M60">
        <v>15.671168140266184</v>
      </c>
    </row>
    <row r="61" spans="1:15" x14ac:dyDescent="0.25">
      <c r="E61" s="77" t="s">
        <v>191</v>
      </c>
      <c r="F61" s="77">
        <f>F59/F60</f>
        <v>1.1298010974000814</v>
      </c>
      <c r="G61" s="77">
        <f t="shared" ref="G61:H61" si="5">G59/G60</f>
        <v>1.2207347002072193</v>
      </c>
      <c r="H61" s="77">
        <f t="shared" si="5"/>
        <v>0.96337512937482406</v>
      </c>
    </row>
    <row r="62" spans="1:15" x14ac:dyDescent="0.25">
      <c r="E62" s="77" t="s">
        <v>192</v>
      </c>
      <c r="F62" s="77">
        <f>F59/F58</f>
        <v>0.53047258674965792</v>
      </c>
      <c r="G62" s="77">
        <f t="shared" ref="G62:H62" si="6">G59/G58</f>
        <v>0.54969857502263153</v>
      </c>
      <c r="H62" s="77">
        <f t="shared" si="6"/>
        <v>0.49067298192861442</v>
      </c>
    </row>
    <row r="63" spans="1:15" x14ac:dyDescent="0.25">
      <c r="J63" t="s">
        <v>187</v>
      </c>
      <c r="K63">
        <v>2019</v>
      </c>
      <c r="L63">
        <v>2020</v>
      </c>
      <c r="M63">
        <v>2021</v>
      </c>
    </row>
    <row r="64" spans="1:15" x14ac:dyDescent="0.25">
      <c r="J64" t="s">
        <v>188</v>
      </c>
      <c r="K64">
        <v>101776030099900</v>
      </c>
      <c r="L64">
        <v>131511434388837</v>
      </c>
      <c r="M64">
        <v>178236422358249</v>
      </c>
    </row>
    <row r="65" spans="1:13" x14ac:dyDescent="0.25">
      <c r="J65" t="s">
        <v>189</v>
      </c>
      <c r="K65">
        <v>53989393956205</v>
      </c>
      <c r="L65">
        <v>72291648082726</v>
      </c>
      <c r="M65">
        <v>87455796846810</v>
      </c>
    </row>
    <row r="66" spans="1:13" x14ac:dyDescent="0.25">
      <c r="E66" s="76" t="s">
        <v>177</v>
      </c>
      <c r="F66" s="77" t="s">
        <v>176</v>
      </c>
      <c r="G66" s="77" t="s">
        <v>175</v>
      </c>
      <c r="J66" t="s">
        <v>190</v>
      </c>
      <c r="K66">
        <v>47786636143695</v>
      </c>
      <c r="L66">
        <v>59219786306111</v>
      </c>
      <c r="M66">
        <v>90780625511439</v>
      </c>
    </row>
    <row r="67" spans="1:13" x14ac:dyDescent="0.25">
      <c r="E67" s="77" t="s">
        <v>191</v>
      </c>
      <c r="F67" s="78">
        <v>0.49099999999999999</v>
      </c>
      <c r="G67" s="77">
        <v>0.66759999999999997</v>
      </c>
    </row>
    <row r="69" spans="1:13" x14ac:dyDescent="0.25">
      <c r="J69" s="77" t="s">
        <v>165</v>
      </c>
      <c r="K69" s="77" t="s">
        <v>193</v>
      </c>
      <c r="L69" s="77" t="s">
        <v>194</v>
      </c>
      <c r="M69" s="77" t="s">
        <v>195</v>
      </c>
    </row>
    <row r="70" spans="1:13" x14ac:dyDescent="0.25">
      <c r="J70" s="77">
        <v>2019</v>
      </c>
      <c r="K70" s="106">
        <v>101776030099900</v>
      </c>
      <c r="L70" s="106">
        <v>53989393956205</v>
      </c>
      <c r="M70" s="106">
        <v>47786636143695</v>
      </c>
    </row>
    <row r="71" spans="1:13" x14ac:dyDescent="0.25">
      <c r="J71" s="77">
        <v>2020</v>
      </c>
      <c r="K71" s="106">
        <v>131511434388837</v>
      </c>
      <c r="L71" s="106">
        <v>72291648082726</v>
      </c>
      <c r="M71" s="106">
        <v>59219786306111</v>
      </c>
    </row>
    <row r="72" spans="1:13" x14ac:dyDescent="0.25">
      <c r="J72" s="77">
        <v>2021</v>
      </c>
      <c r="K72" s="106">
        <v>178236422358249</v>
      </c>
      <c r="L72" s="106">
        <v>87455796846810</v>
      </c>
      <c r="M72" s="106">
        <v>90780625511439</v>
      </c>
    </row>
    <row r="75" spans="1:13" x14ac:dyDescent="0.2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</row>
    <row r="76" spans="1:13" x14ac:dyDescent="0.25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</row>
    <row r="79" spans="1:13" x14ac:dyDescent="0.25">
      <c r="E79" s="77" t="s">
        <v>187</v>
      </c>
      <c r="F79" s="77">
        <v>2019</v>
      </c>
      <c r="G79" s="77">
        <v>2020</v>
      </c>
      <c r="H79" s="77">
        <v>2021</v>
      </c>
    </row>
    <row r="80" spans="1:13" x14ac:dyDescent="0.25">
      <c r="E80" s="77" t="s">
        <v>196</v>
      </c>
      <c r="F80" s="108">
        <f>('Cân đối kt'!J10+'Cân đối kt'!D10)/2</f>
        <v>3791031595344</v>
      </c>
      <c r="G80" s="108">
        <f>('Cân đối kt'!D10+'Cân đối kt'!F10)/2</f>
        <v>4843093825489.5</v>
      </c>
      <c r="H80" s="108">
        <f>('Cân đối kt'!F10+'Cân đối kt'!H10)/2</f>
        <v>6893735628468</v>
      </c>
    </row>
    <row r="81" spans="5:8" x14ac:dyDescent="0.25">
      <c r="E81" s="77" t="s">
        <v>197</v>
      </c>
      <c r="F81" s="108">
        <f>'bc kqhdkd'!D4</f>
        <v>63658192673791</v>
      </c>
      <c r="G81" s="108">
        <f>'bc kqhdkd'!F4</f>
        <v>90118503426717</v>
      </c>
      <c r="H81" s="108">
        <f>'bc kqhdkd'!H4</f>
        <v>149679789979345</v>
      </c>
    </row>
    <row r="82" spans="5:8" x14ac:dyDescent="0.25">
      <c r="E82" s="77" t="s">
        <v>198</v>
      </c>
      <c r="F82" s="107">
        <f>F81/F80</f>
        <v>16.791786370752899</v>
      </c>
      <c r="G82" s="107">
        <f t="shared" ref="G82:H82" si="7">G81/G80</f>
        <v>18.607631128766862</v>
      </c>
      <c r="H82" s="107">
        <f t="shared" si="7"/>
        <v>21.712435469854022</v>
      </c>
    </row>
    <row r="83" spans="5:8" x14ac:dyDescent="0.25">
      <c r="E83" s="77" t="s">
        <v>199</v>
      </c>
      <c r="F83" s="107">
        <f>360/F82</f>
        <v>21.439053121056265</v>
      </c>
      <c r="G83" s="107">
        <f t="shared" ref="G83:H83" si="8">360/G82</f>
        <v>19.346901145490271</v>
      </c>
      <c r="H83" s="107">
        <f t="shared" si="8"/>
        <v>16.580360158114512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workbookViewId="0">
      <selection activeCell="D29" sqref="D29:F29"/>
    </sheetView>
  </sheetViews>
  <sheetFormatPr defaultRowHeight="15" x14ac:dyDescent="0.25"/>
  <cols>
    <col min="2" max="2" width="16.85546875" bestFit="1" customWidth="1"/>
    <col min="3" max="3" width="25.5703125" bestFit="1" customWidth="1"/>
    <col min="4" max="4" width="16.140625" bestFit="1" customWidth="1"/>
    <col min="5" max="5" width="15" customWidth="1"/>
    <col min="6" max="6" width="17.5703125" customWidth="1"/>
    <col min="7" max="7" width="20.85546875" customWidth="1"/>
    <col min="8" max="8" width="16.85546875" bestFit="1" customWidth="1"/>
    <col min="9" max="9" width="16" bestFit="1" customWidth="1"/>
    <col min="10" max="10" width="16.85546875" bestFit="1" customWidth="1"/>
  </cols>
  <sheetData>
    <row r="2" spans="2:10" x14ac:dyDescent="0.25">
      <c r="B2" s="76" t="s">
        <v>165</v>
      </c>
      <c r="C2" s="77">
        <v>2019</v>
      </c>
      <c r="D2" s="77">
        <v>2020</v>
      </c>
      <c r="E2" s="77">
        <v>2021</v>
      </c>
      <c r="G2" t="s">
        <v>165</v>
      </c>
      <c r="H2">
        <v>2019</v>
      </c>
      <c r="I2">
        <v>2020</v>
      </c>
      <c r="J2">
        <v>2021</v>
      </c>
    </row>
    <row r="3" spans="2:10" x14ac:dyDescent="0.25">
      <c r="B3" s="77" t="s">
        <v>184</v>
      </c>
      <c r="C3" s="105" t="e">
        <f>'bc kqhdkd'!#REF!+'bc kqhdkd'!#REF!</f>
        <v>#REF!</v>
      </c>
      <c r="D3" s="105" t="e">
        <f>'bc kqhdkd'!#REF!+'bc kqhdkd'!#REF!</f>
        <v>#REF!</v>
      </c>
      <c r="E3" s="105" t="e">
        <f>'bc kqhdkd'!#REF!+'bc kqhdkd'!#REF!</f>
        <v>#REF!</v>
      </c>
      <c r="G3" t="s">
        <v>184</v>
      </c>
      <c r="H3">
        <v>10033372341745</v>
      </c>
      <c r="I3">
        <v>17548647715118</v>
      </c>
      <c r="J3">
        <v>39582600972427</v>
      </c>
    </row>
    <row r="4" spans="2:10" x14ac:dyDescent="0.25">
      <c r="B4" s="77" t="s">
        <v>185</v>
      </c>
      <c r="C4" s="105" t="e">
        <f>'bc kqhdkd'!#REF!</f>
        <v>#REF!</v>
      </c>
      <c r="D4" s="105" t="e">
        <f>'bc kqhdkd'!#REF!</f>
        <v>#REF!</v>
      </c>
      <c r="E4" s="105" t="e">
        <f>'bc kqhdkd'!#REF!</f>
        <v>#REF!</v>
      </c>
      <c r="G4" t="s">
        <v>185</v>
      </c>
      <c r="H4">
        <v>936710218359</v>
      </c>
      <c r="I4">
        <v>2191680923417</v>
      </c>
      <c r="J4">
        <v>2525823258237</v>
      </c>
    </row>
    <row r="5" spans="2:10" x14ac:dyDescent="0.25">
      <c r="B5" s="77" t="s">
        <v>186</v>
      </c>
      <c r="C5" s="78" t="e">
        <f>C3/C4</f>
        <v>#REF!</v>
      </c>
      <c r="D5" s="78" t="e">
        <f t="shared" ref="D5:E5" si="0">D3/D4</f>
        <v>#REF!</v>
      </c>
      <c r="E5" s="78" t="e">
        <f t="shared" si="0"/>
        <v>#REF!</v>
      </c>
      <c r="G5" t="s">
        <v>186</v>
      </c>
      <c r="H5">
        <v>10.711287381194818</v>
      </c>
      <c r="I5">
        <v>8.0069354656599838</v>
      </c>
      <c r="J5">
        <v>15.671168140266184</v>
      </c>
    </row>
    <row r="7" spans="2:10" x14ac:dyDescent="0.25">
      <c r="B7" s="77" t="s">
        <v>187</v>
      </c>
      <c r="C7" s="77">
        <v>2019</v>
      </c>
      <c r="D7" s="77">
        <v>2020</v>
      </c>
      <c r="E7" s="77">
        <v>2021</v>
      </c>
      <c r="G7" t="s">
        <v>165</v>
      </c>
      <c r="H7" t="s">
        <v>184</v>
      </c>
      <c r="I7" t="s">
        <v>185</v>
      </c>
      <c r="J7" t="s">
        <v>186</v>
      </c>
    </row>
    <row r="8" spans="2:10" x14ac:dyDescent="0.25">
      <c r="B8" s="77" t="s">
        <v>188</v>
      </c>
      <c r="C8" s="105" t="str">
        <f>'Cân đối kt'!A32</f>
        <v>Tai sản cố định vô hình</v>
      </c>
      <c r="D8" s="105">
        <f>'Cân đối kt'!C32</f>
        <v>13</v>
      </c>
      <c r="E8" s="105">
        <f>'Cân đối kt'!E32</f>
        <v>-5.7668244887068947E-2</v>
      </c>
      <c r="G8">
        <v>2019</v>
      </c>
      <c r="H8" s="106">
        <v>10033372341745</v>
      </c>
      <c r="I8" s="106">
        <v>936710218359</v>
      </c>
      <c r="J8">
        <v>10.711287381194818</v>
      </c>
    </row>
    <row r="9" spans="2:10" x14ac:dyDescent="0.25">
      <c r="B9" s="77" t="s">
        <v>189</v>
      </c>
      <c r="C9" s="105">
        <f>'Cân đối kt'!A1</f>
        <v>0</v>
      </c>
      <c r="D9" s="105">
        <f>'Cân đối kt'!C1</f>
        <v>0</v>
      </c>
      <c r="E9" s="105">
        <f>'Cân đối kt'!E1</f>
        <v>0</v>
      </c>
      <c r="G9">
        <v>2020</v>
      </c>
      <c r="H9" s="106">
        <v>17548647715118</v>
      </c>
      <c r="I9" s="106">
        <v>2191680923417</v>
      </c>
      <c r="J9">
        <v>8.0069354656599838</v>
      </c>
    </row>
    <row r="10" spans="2:10" x14ac:dyDescent="0.25">
      <c r="B10" s="77" t="s">
        <v>190</v>
      </c>
      <c r="C10" s="105" t="str">
        <f>'Cân đối kt'!A21</f>
        <v>Chi phí trả trước ngắn hạn</v>
      </c>
      <c r="D10" s="105">
        <f>'Cân đối kt'!C21</f>
        <v>17.100000000000001</v>
      </c>
      <c r="E10" s="105">
        <f>'Cân đối kt'!E21</f>
        <v>0.19271623185488199</v>
      </c>
      <c r="G10">
        <v>2021</v>
      </c>
      <c r="H10" s="106">
        <v>39582600972427</v>
      </c>
      <c r="I10" s="106">
        <v>2525823258237</v>
      </c>
      <c r="J10">
        <v>15.671168140266184</v>
      </c>
    </row>
    <row r="11" spans="2:10" x14ac:dyDescent="0.25">
      <c r="B11" s="77" t="s">
        <v>191</v>
      </c>
      <c r="C11" s="77" t="e">
        <f>C9/C10</f>
        <v>#VALUE!</v>
      </c>
      <c r="D11" s="77">
        <f t="shared" ref="D11:E11" si="1">D9/D10</f>
        <v>0</v>
      </c>
      <c r="E11" s="77">
        <f t="shared" si="1"/>
        <v>0</v>
      </c>
    </row>
    <row r="12" spans="2:10" x14ac:dyDescent="0.25">
      <c r="B12" s="77" t="s">
        <v>192</v>
      </c>
      <c r="C12" s="77" t="e">
        <f>C9/C8</f>
        <v>#VALUE!</v>
      </c>
      <c r="D12" s="77">
        <f t="shared" ref="D12:E12" si="2">D9/D8</f>
        <v>0</v>
      </c>
      <c r="E12" s="77">
        <f t="shared" si="2"/>
        <v>0</v>
      </c>
    </row>
    <row r="13" spans="2:10" x14ac:dyDescent="0.25">
      <c r="G13" t="s">
        <v>187</v>
      </c>
      <c r="H13">
        <v>2019</v>
      </c>
      <c r="I13">
        <v>2020</v>
      </c>
      <c r="J13">
        <v>2021</v>
      </c>
    </row>
    <row r="14" spans="2:10" x14ac:dyDescent="0.25">
      <c r="G14" t="s">
        <v>188</v>
      </c>
      <c r="H14">
        <v>101776030099900</v>
      </c>
      <c r="I14">
        <v>131511434388837</v>
      </c>
      <c r="J14">
        <v>178236422358249</v>
      </c>
    </row>
    <row r="15" spans="2:10" x14ac:dyDescent="0.25">
      <c r="G15" t="s">
        <v>189</v>
      </c>
      <c r="H15">
        <v>53989393956205</v>
      </c>
      <c r="I15">
        <v>72291648082726</v>
      </c>
      <c r="J15">
        <v>87455796846810</v>
      </c>
    </row>
    <row r="16" spans="2:10" x14ac:dyDescent="0.25">
      <c r="B16" s="76" t="s">
        <v>177</v>
      </c>
      <c r="C16" s="77" t="s">
        <v>176</v>
      </c>
      <c r="D16" s="77" t="s">
        <v>175</v>
      </c>
      <c r="G16" t="s">
        <v>190</v>
      </c>
      <c r="H16">
        <v>47786636143695</v>
      </c>
      <c r="I16">
        <v>59219786306111</v>
      </c>
      <c r="J16">
        <v>90780625511439</v>
      </c>
    </row>
    <row r="17" spans="1:14" x14ac:dyDescent="0.25">
      <c r="B17" s="77" t="s">
        <v>191</v>
      </c>
      <c r="C17" s="78">
        <v>0.49099999999999999</v>
      </c>
      <c r="D17" s="77">
        <v>0.66759999999999997</v>
      </c>
    </row>
    <row r="19" spans="1:14" x14ac:dyDescent="0.25">
      <c r="G19" s="77" t="s">
        <v>165</v>
      </c>
      <c r="H19" s="77" t="s">
        <v>193</v>
      </c>
      <c r="I19" s="77" t="s">
        <v>194</v>
      </c>
      <c r="J19" s="77" t="s">
        <v>195</v>
      </c>
    </row>
    <row r="20" spans="1:14" x14ac:dyDescent="0.25">
      <c r="G20" s="77">
        <v>2019</v>
      </c>
      <c r="H20" s="106">
        <v>101776030099900</v>
      </c>
      <c r="I20" s="106">
        <v>53989393956205</v>
      </c>
      <c r="J20" s="106">
        <v>47786636143695</v>
      </c>
    </row>
    <row r="21" spans="1:14" x14ac:dyDescent="0.25">
      <c r="G21" s="77">
        <v>2020</v>
      </c>
      <c r="H21" s="106">
        <v>131511434388837</v>
      </c>
      <c r="I21" s="106">
        <v>72291648082726</v>
      </c>
      <c r="J21" s="106">
        <v>59219786306111</v>
      </c>
    </row>
    <row r="22" spans="1:14" x14ac:dyDescent="0.25">
      <c r="G22" s="77">
        <v>2021</v>
      </c>
      <c r="H22" s="106">
        <v>178236422358249</v>
      </c>
      <c r="I22" s="106">
        <v>87455796846810</v>
      </c>
      <c r="J22" s="106">
        <v>90780625511439</v>
      </c>
    </row>
    <row r="24" spans="1:14" x14ac:dyDescent="0.25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</row>
    <row r="25" spans="1:14" x14ac:dyDescent="0.25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</row>
    <row r="27" spans="1:14" x14ac:dyDescent="0.25">
      <c r="C27" s="77" t="s">
        <v>187</v>
      </c>
      <c r="D27" s="77">
        <v>2019</v>
      </c>
      <c r="E27" s="77">
        <v>2020</v>
      </c>
      <c r="F27" s="77">
        <v>2021</v>
      </c>
    </row>
    <row r="28" spans="1:14" x14ac:dyDescent="0.25">
      <c r="C28" s="77" t="s">
        <v>200</v>
      </c>
      <c r="D28" s="109">
        <f>'bc kqhdkd'!D20/'Cân đối kt'!D82</f>
        <v>7.4460049471279641E-2</v>
      </c>
      <c r="E28" s="109">
        <f>'bc kqhdkd'!F20/'Cân đối kt'!F82</f>
        <v>0.10269954182823084</v>
      </c>
      <c r="F28" s="109">
        <f>'bc kqhdkd'!H20/'Cân đối kt'!H82</f>
        <v>0.19368069934613075</v>
      </c>
      <c r="H28" t="s">
        <v>187</v>
      </c>
      <c r="I28">
        <v>2019</v>
      </c>
      <c r="J28">
        <v>2020</v>
      </c>
      <c r="K28">
        <v>2021</v>
      </c>
    </row>
    <row r="29" spans="1:14" x14ac:dyDescent="0.25">
      <c r="C29" s="77" t="s">
        <v>201</v>
      </c>
      <c r="D29" s="109">
        <f>'bc kqhdkd'!D20/'Cân đối kt'!D71</f>
        <v>0.15858509507639573</v>
      </c>
      <c r="E29" s="109">
        <f>'bc kqhdkd'!F20/'Cân đối kt'!F71</f>
        <v>0.22806843623333498</v>
      </c>
      <c r="F29" s="109">
        <f>'bc kqhdkd'!H20/'Cân đối kt'!H71</f>
        <v>0.38026786813611585</v>
      </c>
      <c r="H29" t="s">
        <v>200</v>
      </c>
      <c r="I29">
        <v>7.4460049471279641E-2</v>
      </c>
      <c r="J29">
        <v>0.10269954182823084</v>
      </c>
      <c r="K29">
        <v>0.19368069934613075</v>
      </c>
    </row>
    <row r="30" spans="1:14" x14ac:dyDescent="0.25">
      <c r="C30" s="77" t="s">
        <v>202</v>
      </c>
      <c r="D30" s="109">
        <f>'Khả năng thanh toán'!F53/'Cân đối kt'!D82</f>
        <v>9.8582862112980549E-2</v>
      </c>
      <c r="E30" s="109">
        <f>'Khả năng thanh toán'!G53/'Cân đối kt'!F82</f>
        <v>0.13343818958914475</v>
      </c>
      <c r="F30" s="109">
        <f>'Khả năng thanh toán'!H53/'Cân đối kt'!H82</f>
        <v>0.2220791937400278</v>
      </c>
      <c r="H30" t="s">
        <v>201</v>
      </c>
      <c r="I30">
        <v>0.15858509507639573</v>
      </c>
      <c r="J30">
        <v>0.22806843623333498</v>
      </c>
      <c r="K30">
        <v>0.38026786813611585</v>
      </c>
    </row>
    <row r="31" spans="1:14" x14ac:dyDescent="0.25">
      <c r="H31" t="s">
        <v>202</v>
      </c>
      <c r="I31">
        <v>9.8582862112980549E-2</v>
      </c>
      <c r="J31">
        <v>0.13343818958914475</v>
      </c>
      <c r="K31">
        <v>0.2220791937400278</v>
      </c>
    </row>
    <row r="34" spans="1:11" x14ac:dyDescent="0.25">
      <c r="C34" s="76" t="s">
        <v>177</v>
      </c>
      <c r="D34" s="77" t="s">
        <v>176</v>
      </c>
      <c r="E34" s="77" t="s">
        <v>175</v>
      </c>
      <c r="H34" t="s">
        <v>187</v>
      </c>
      <c r="I34" t="s">
        <v>200</v>
      </c>
      <c r="J34" t="s">
        <v>201</v>
      </c>
      <c r="K34" t="s">
        <v>202</v>
      </c>
    </row>
    <row r="35" spans="1:11" x14ac:dyDescent="0.25">
      <c r="C35" s="77" t="s">
        <v>200</v>
      </c>
      <c r="D35" s="77">
        <v>0.21990000000000001</v>
      </c>
      <c r="E35" s="77">
        <v>0.18260000000000001</v>
      </c>
      <c r="H35">
        <v>2019</v>
      </c>
      <c r="I35">
        <v>7.4460049471279641E-2</v>
      </c>
      <c r="J35">
        <v>0.15858509507639573</v>
      </c>
      <c r="K35">
        <v>9.8582862112980549E-2</v>
      </c>
    </row>
    <row r="36" spans="1:11" x14ac:dyDescent="0.25">
      <c r="C36" s="77" t="s">
        <v>201</v>
      </c>
      <c r="D36" s="77">
        <v>0.40389999999999998</v>
      </c>
      <c r="E36" s="77">
        <v>0.34710000000000002</v>
      </c>
      <c r="H36">
        <v>2020</v>
      </c>
      <c r="I36">
        <v>0.10269954182823084</v>
      </c>
      <c r="J36">
        <v>0.22806843623333498</v>
      </c>
      <c r="K36">
        <v>0.13343818958914475</v>
      </c>
    </row>
    <row r="37" spans="1:11" x14ac:dyDescent="0.25">
      <c r="C37" s="77" t="s">
        <v>202</v>
      </c>
      <c r="D37" s="77">
        <v>0.35620000000000002</v>
      </c>
      <c r="E37" s="77">
        <v>0.30620000000000003</v>
      </c>
      <c r="H37">
        <v>2021</v>
      </c>
      <c r="I37">
        <v>0.19368069934613075</v>
      </c>
      <c r="J37">
        <v>0.38026786813611585</v>
      </c>
      <c r="K37">
        <v>0.2220791937400278</v>
      </c>
    </row>
    <row r="39" spans="1:11" x14ac:dyDescent="0.25">
      <c r="A39" s="104"/>
      <c r="B39" s="104"/>
      <c r="C39" s="104"/>
      <c r="D39" s="104"/>
      <c r="E39" s="104"/>
      <c r="F39" s="104"/>
      <c r="G39" s="104"/>
      <c r="H39" s="104"/>
    </row>
    <row r="41" spans="1:11" x14ac:dyDescent="0.25">
      <c r="C41" s="77" t="s">
        <v>187</v>
      </c>
      <c r="D41" s="77">
        <v>2019</v>
      </c>
      <c r="E41" s="77">
        <v>2020</v>
      </c>
      <c r="F41" s="77">
        <v>2021</v>
      </c>
    </row>
    <row r="42" spans="1:11" x14ac:dyDescent="0.25">
      <c r="C42" s="77" t="s">
        <v>203</v>
      </c>
      <c r="D42" s="110">
        <f>'bc kqhdkd'!D6/'bc kqhdkd'!D4</f>
        <v>0.17570986156416879</v>
      </c>
      <c r="E42" s="110">
        <f>'bc kqhdkd'!F6/'bc kqhdkd'!F4</f>
        <v>0.20976879536760712</v>
      </c>
      <c r="F42" s="110">
        <f>'bc kqhdkd'!H6/'bc kqhdkd'!H4</f>
        <v>0.27464235177417562</v>
      </c>
    </row>
    <row r="43" spans="1:11" x14ac:dyDescent="0.25">
      <c r="C43" s="77" t="s">
        <v>204</v>
      </c>
      <c r="D43" s="110">
        <f>'bc kqhdkd'!D20/'bc kqhdkd'!D4</f>
        <v>0.11904592194539439</v>
      </c>
      <c r="E43" s="110">
        <f>'bc kqhdkd'!F20/'bc kqhdkd'!F4</f>
        <v>0.14987115346284027</v>
      </c>
      <c r="F43" s="110">
        <f>'bc kqhdkd'!H20/'bc kqhdkd'!H4</f>
        <v>0.23063203747187047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S36"/>
  <sheetViews>
    <sheetView tabSelected="1" topLeftCell="A4" zoomScaleNormal="100" workbookViewId="0">
      <selection activeCell="G5" sqref="G5:S36"/>
    </sheetView>
  </sheetViews>
  <sheetFormatPr defaultRowHeight="15" x14ac:dyDescent="0.25"/>
  <sheetData>
    <row r="5" spans="7:19" x14ac:dyDescent="0.25">
      <c r="G5" s="118" t="s">
        <v>201</v>
      </c>
      <c r="H5" s="118"/>
      <c r="I5" s="118"/>
    </row>
    <row r="6" spans="7:19" x14ac:dyDescent="0.25">
      <c r="G6" s="77">
        <v>2019</v>
      </c>
      <c r="H6" s="77">
        <v>2020</v>
      </c>
      <c r="I6" s="77">
        <v>2021</v>
      </c>
      <c r="J6" s="120"/>
    </row>
    <row r="7" spans="7:19" x14ac:dyDescent="0.25">
      <c r="G7" s="77">
        <v>0.15858509507639573</v>
      </c>
      <c r="H7" s="77">
        <v>0.22806843623333498</v>
      </c>
      <c r="I7" s="77">
        <v>0.38026786813611585</v>
      </c>
      <c r="J7" s="125"/>
      <c r="L7" s="118" t="s">
        <v>205</v>
      </c>
      <c r="M7" s="118"/>
      <c r="N7" s="118"/>
      <c r="Q7" s="127"/>
    </row>
    <row r="8" spans="7:19" x14ac:dyDescent="0.25">
      <c r="G8" s="119"/>
      <c r="H8" s="119">
        <f>(H7/G7)-1</f>
        <v>0.43814547088089717</v>
      </c>
      <c r="I8" s="119">
        <f>(I7/H7)-1</f>
        <v>0.66734105962416845</v>
      </c>
      <c r="J8" s="126"/>
      <c r="K8" s="124"/>
      <c r="L8" s="77">
        <v>2019</v>
      </c>
      <c r="M8" s="77">
        <v>2020</v>
      </c>
      <c r="N8" s="77">
        <v>2021</v>
      </c>
      <c r="O8" s="120"/>
    </row>
    <row r="9" spans="7:19" x14ac:dyDescent="0.25">
      <c r="J9" s="123"/>
      <c r="L9" s="77">
        <f ca="1">Sheet1!G5:S36+Sheet1!S5</f>
        <v>0</v>
      </c>
      <c r="M9" s="77">
        <v>0.22806843623333498</v>
      </c>
      <c r="N9" s="77">
        <v>0.38026786813611585</v>
      </c>
      <c r="O9" s="122"/>
    </row>
    <row r="10" spans="7:19" x14ac:dyDescent="0.25">
      <c r="G10" s="118" t="s">
        <v>201</v>
      </c>
      <c r="H10" s="118"/>
      <c r="I10" s="118"/>
      <c r="J10" s="123"/>
      <c r="L10" s="119"/>
      <c r="M10" s="119">
        <f ca="1">(M9/L9)-1</f>
        <v>0.43814547088089717</v>
      </c>
      <c r="N10" s="119">
        <f>(N9/M9)-1</f>
        <v>0.66734105962416845</v>
      </c>
      <c r="O10" s="123"/>
    </row>
    <row r="11" spans="7:19" x14ac:dyDescent="0.25">
      <c r="G11" s="77">
        <v>2019</v>
      </c>
      <c r="H11" s="77">
        <v>2020</v>
      </c>
      <c r="I11" s="77">
        <v>2021</v>
      </c>
      <c r="J11" s="124"/>
      <c r="O11" s="123"/>
    </row>
    <row r="12" spans="7:19" x14ac:dyDescent="0.25">
      <c r="G12" s="77">
        <v>0.15858509507639573</v>
      </c>
      <c r="H12" s="77">
        <v>0.22806843623333498</v>
      </c>
      <c r="I12" s="77">
        <v>0.38026786813611585</v>
      </c>
      <c r="O12" s="123"/>
      <c r="S12" s="127"/>
    </row>
    <row r="13" spans="7:19" x14ac:dyDescent="0.25">
      <c r="G13" s="119"/>
      <c r="H13" s="119">
        <f>(H12/G12)-1</f>
        <v>0.43814547088089717</v>
      </c>
      <c r="I13" s="119">
        <f>(I12/H12)-1</f>
        <v>0.66734105962416845</v>
      </c>
      <c r="O13" s="123"/>
      <c r="S13" s="127"/>
    </row>
    <row r="14" spans="7:19" x14ac:dyDescent="0.25">
      <c r="O14" s="123"/>
    </row>
    <row r="15" spans="7:19" x14ac:dyDescent="0.25">
      <c r="O15" s="123"/>
    </row>
    <row r="16" spans="7:19" x14ac:dyDescent="0.25">
      <c r="O16" s="123"/>
    </row>
    <row r="17" spans="7:19" x14ac:dyDescent="0.25">
      <c r="O17" s="123"/>
    </row>
    <row r="18" spans="7:19" x14ac:dyDescent="0.25">
      <c r="L18" s="118" t="s">
        <v>201</v>
      </c>
      <c r="M18" s="118"/>
      <c r="N18" s="118"/>
      <c r="O18" s="123"/>
      <c r="Q18" s="118" t="s">
        <v>201</v>
      </c>
      <c r="R18" s="118"/>
      <c r="S18" s="118"/>
    </row>
    <row r="19" spans="7:19" x14ac:dyDescent="0.25">
      <c r="L19" s="77">
        <v>2019</v>
      </c>
      <c r="M19" s="77">
        <v>2020</v>
      </c>
      <c r="N19" s="77">
        <v>2021</v>
      </c>
      <c r="O19" s="124"/>
      <c r="P19" s="121"/>
      <c r="Q19" s="77">
        <v>2019</v>
      </c>
      <c r="R19" s="77">
        <v>2020</v>
      </c>
      <c r="S19" s="77">
        <v>2021</v>
      </c>
    </row>
    <row r="20" spans="7:19" x14ac:dyDescent="0.25">
      <c r="L20" s="77">
        <v>0.15858509507639573</v>
      </c>
      <c r="M20" s="77">
        <v>0.22806843623333498</v>
      </c>
      <c r="N20" s="77">
        <v>0.38026786813611585</v>
      </c>
      <c r="O20" s="122"/>
      <c r="Q20" s="77">
        <v>0.15858509507639573</v>
      </c>
      <c r="R20" s="77">
        <v>0.22806843623333498</v>
      </c>
      <c r="S20" s="77">
        <v>0.38026786813611585</v>
      </c>
    </row>
    <row r="21" spans="7:19" x14ac:dyDescent="0.25">
      <c r="L21" s="119"/>
      <c r="M21" s="119">
        <f>(M20/L20)-1</f>
        <v>0.43814547088089717</v>
      </c>
      <c r="N21" s="119">
        <f>(N20/M20)-1</f>
        <v>0.66734105962416845</v>
      </c>
      <c r="O21" s="123"/>
      <c r="Q21" s="119"/>
      <c r="R21" s="119">
        <f>(R20/Q20)-1</f>
        <v>0.43814547088089717</v>
      </c>
      <c r="S21" s="119">
        <f>(S20/R20)-1</f>
        <v>0.66734105962416845</v>
      </c>
    </row>
    <row r="22" spans="7:19" x14ac:dyDescent="0.25">
      <c r="O22" s="123"/>
    </row>
    <row r="23" spans="7:19" x14ac:dyDescent="0.25">
      <c r="O23" s="123"/>
    </row>
    <row r="24" spans="7:19" x14ac:dyDescent="0.25">
      <c r="O24" s="123"/>
    </row>
    <row r="25" spans="7:19" x14ac:dyDescent="0.25">
      <c r="O25" s="123"/>
    </row>
    <row r="26" spans="7:19" x14ac:dyDescent="0.25">
      <c r="O26" s="123"/>
    </row>
    <row r="27" spans="7:19" x14ac:dyDescent="0.25">
      <c r="O27" s="123"/>
    </row>
    <row r="28" spans="7:19" x14ac:dyDescent="0.25">
      <c r="G28" s="118" t="s">
        <v>201</v>
      </c>
      <c r="H28" s="118"/>
      <c r="I28" s="118"/>
      <c r="O28" s="123"/>
    </row>
    <row r="29" spans="7:19" x14ac:dyDescent="0.25">
      <c r="G29" s="77">
        <v>2019</v>
      </c>
      <c r="H29" s="77">
        <v>2020</v>
      </c>
      <c r="I29" s="77">
        <v>2021</v>
      </c>
      <c r="J29" s="120"/>
      <c r="O29" s="123"/>
    </row>
    <row r="30" spans="7:19" x14ac:dyDescent="0.25">
      <c r="G30" s="77">
        <v>0.15858509507639573</v>
      </c>
      <c r="H30" s="77">
        <v>0.22806843623333498</v>
      </c>
      <c r="I30" s="77">
        <v>0.38026786813611585</v>
      </c>
      <c r="J30" s="122"/>
      <c r="O30" s="123"/>
    </row>
    <row r="31" spans="7:19" x14ac:dyDescent="0.25">
      <c r="G31" s="119"/>
      <c r="H31" s="119">
        <f>(H30/G30)-1</f>
        <v>0.43814547088089717</v>
      </c>
      <c r="I31" s="119">
        <f>(I30/H30)-1</f>
        <v>0.66734105962416845</v>
      </c>
      <c r="J31" s="123"/>
      <c r="O31" s="123"/>
    </row>
    <row r="32" spans="7:19" x14ac:dyDescent="0.25">
      <c r="J32" s="123"/>
      <c r="K32" s="124"/>
      <c r="L32" s="118" t="s">
        <v>201</v>
      </c>
      <c r="M32" s="118"/>
      <c r="N32" s="118"/>
      <c r="O32" s="123"/>
    </row>
    <row r="33" spans="7:15" x14ac:dyDescent="0.25">
      <c r="G33" s="118" t="s">
        <v>201</v>
      </c>
      <c r="H33" s="118"/>
      <c r="I33" s="118"/>
      <c r="J33" s="126"/>
      <c r="L33" s="77">
        <v>2019</v>
      </c>
      <c r="M33" s="77">
        <v>2020</v>
      </c>
      <c r="N33" s="77">
        <v>2021</v>
      </c>
      <c r="O33" s="124"/>
    </row>
    <row r="34" spans="7:15" x14ac:dyDescent="0.25">
      <c r="G34" s="77">
        <v>2019</v>
      </c>
      <c r="H34" s="77">
        <v>2020</v>
      </c>
      <c r="I34" s="77">
        <v>2021</v>
      </c>
      <c r="J34" s="124"/>
      <c r="L34" s="77">
        <v>0.15858509507639573</v>
      </c>
      <c r="M34" s="77">
        <v>0.22806843623333498</v>
      </c>
      <c r="N34" s="77">
        <v>0.38026786813611585</v>
      </c>
    </row>
    <row r="35" spans="7:15" x14ac:dyDescent="0.25">
      <c r="G35" s="77">
        <v>0.15858509507639573</v>
      </c>
      <c r="H35" s="77">
        <v>0.22806843623333498</v>
      </c>
      <c r="I35" s="77">
        <v>0.38026786813611585</v>
      </c>
      <c r="L35" s="119"/>
      <c r="M35" s="119">
        <f>(M34/L34)-1</f>
        <v>0.43814547088089717</v>
      </c>
      <c r="N35" s="119">
        <f>(N34/M34)-1</f>
        <v>0.66734105962416845</v>
      </c>
    </row>
    <row r="36" spans="7:15" x14ac:dyDescent="0.25">
      <c r="G36" s="119"/>
      <c r="H36" s="119">
        <f>(H35/G35)-1</f>
        <v>0.43814547088089717</v>
      </c>
      <c r="I36" s="119">
        <f>(I35/H35)-1</f>
        <v>0.66734105962416845</v>
      </c>
    </row>
  </sheetData>
  <mergeCells count="8">
    <mergeCell ref="G5:I5"/>
    <mergeCell ref="L18:N18"/>
    <mergeCell ref="L7:N7"/>
    <mergeCell ref="L32:N32"/>
    <mergeCell ref="G28:I28"/>
    <mergeCell ref="G33:I33"/>
    <mergeCell ref="G10:I10"/>
    <mergeCell ref="Q18:S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5" workbookViewId="0">
      <selection activeCell="D16" sqref="D16:E16"/>
    </sheetView>
  </sheetViews>
  <sheetFormatPr defaultRowHeight="15" x14ac:dyDescent="0.25"/>
  <cols>
    <col min="1" max="1" width="32.7109375" customWidth="1"/>
    <col min="4" max="5" width="21.7109375" bestFit="1" customWidth="1"/>
  </cols>
  <sheetData>
    <row r="1" spans="1:5" ht="31.5" x14ac:dyDescent="0.25">
      <c r="A1" s="12"/>
      <c r="B1" s="12" t="s">
        <v>80</v>
      </c>
      <c r="C1" s="12" t="s">
        <v>81</v>
      </c>
      <c r="D1" s="15" t="s">
        <v>83</v>
      </c>
      <c r="E1" s="15" t="s">
        <v>155</v>
      </c>
    </row>
    <row r="2" spans="1:5" ht="15.75" x14ac:dyDescent="0.25">
      <c r="A2" s="116" t="s">
        <v>124</v>
      </c>
      <c r="B2" s="116"/>
      <c r="C2" s="116"/>
      <c r="D2" s="14"/>
      <c r="E2" s="14"/>
    </row>
    <row r="3" spans="1:5" ht="15.75" x14ac:dyDescent="0.25">
      <c r="A3" s="11" t="s">
        <v>107</v>
      </c>
      <c r="B3" s="12">
        <v>1</v>
      </c>
      <c r="C3" s="14"/>
      <c r="D3" s="15">
        <v>15356966791701</v>
      </c>
      <c r="E3" s="15">
        <v>9096662123386</v>
      </c>
    </row>
    <row r="4" spans="1:5" ht="15.75" x14ac:dyDescent="0.25">
      <c r="A4" s="11" t="s">
        <v>108</v>
      </c>
      <c r="B4" s="12"/>
      <c r="C4" s="14"/>
      <c r="D4" s="39"/>
      <c r="E4" s="39"/>
    </row>
    <row r="5" spans="1:5" ht="15.75" x14ac:dyDescent="0.25">
      <c r="A5" s="16" t="s">
        <v>109</v>
      </c>
      <c r="B5" s="17">
        <v>2</v>
      </c>
      <c r="C5" s="4"/>
      <c r="D5" s="18">
        <v>4775781721269</v>
      </c>
      <c r="E5" s="18">
        <v>2566183420309</v>
      </c>
    </row>
    <row r="6" spans="1:5" ht="15.75" x14ac:dyDescent="0.25">
      <c r="A6" s="16" t="s">
        <v>110</v>
      </c>
      <c r="B6" s="17">
        <v>2</v>
      </c>
      <c r="C6" s="4"/>
      <c r="D6" s="18">
        <v>18075220852</v>
      </c>
      <c r="E6" s="18">
        <v>27049152720</v>
      </c>
    </row>
    <row r="7" spans="1:5" ht="15.75" x14ac:dyDescent="0.25">
      <c r="A7" s="16" t="s">
        <v>111</v>
      </c>
      <c r="B7" s="17">
        <v>3</v>
      </c>
      <c r="C7" s="4"/>
      <c r="D7" s="18">
        <v>28314185442</v>
      </c>
      <c r="E7" s="18">
        <v>-5772614376</v>
      </c>
    </row>
    <row r="8" spans="1:5" ht="47.25" x14ac:dyDescent="0.25">
      <c r="A8" s="16" t="s">
        <v>112</v>
      </c>
      <c r="B8" s="17">
        <v>4</v>
      </c>
      <c r="C8" s="4"/>
      <c r="D8" s="18">
        <v>52078870772</v>
      </c>
      <c r="E8" s="18">
        <v>24183514856</v>
      </c>
    </row>
    <row r="9" spans="1:5" ht="15.75" x14ac:dyDescent="0.25">
      <c r="A9" s="16" t="s">
        <v>113</v>
      </c>
      <c r="B9" s="17">
        <v>5</v>
      </c>
      <c r="C9" s="4"/>
      <c r="D9" s="18">
        <v>-490559694590</v>
      </c>
      <c r="E9" s="18">
        <v>-286185193464</v>
      </c>
    </row>
    <row r="10" spans="1:5" ht="15.75" x14ac:dyDescent="0.25">
      <c r="A10" s="16" t="s">
        <v>114</v>
      </c>
      <c r="B10" s="17">
        <v>6</v>
      </c>
      <c r="C10" s="4"/>
      <c r="D10" s="18">
        <v>2191680923417</v>
      </c>
      <c r="E10" s="18">
        <v>936710218359</v>
      </c>
    </row>
    <row r="11" spans="1:5" ht="47.25" x14ac:dyDescent="0.25">
      <c r="A11" s="11" t="s">
        <v>115</v>
      </c>
      <c r="B11" s="12">
        <v>8</v>
      </c>
      <c r="C11" s="14"/>
      <c r="D11" s="13">
        <v>21932338018863</v>
      </c>
      <c r="E11" s="13">
        <v>12358830621790</v>
      </c>
    </row>
    <row r="12" spans="1:5" ht="15.75" x14ac:dyDescent="0.25">
      <c r="A12" s="16" t="s">
        <v>116</v>
      </c>
      <c r="B12" s="17">
        <v>9</v>
      </c>
      <c r="C12" s="4"/>
      <c r="D12" s="18">
        <v>-3374026162649</v>
      </c>
      <c r="E12" s="18">
        <v>-288519564021</v>
      </c>
    </row>
    <row r="13" spans="1:5" ht="15.75" x14ac:dyDescent="0.25">
      <c r="A13" s="16" t="s">
        <v>117</v>
      </c>
      <c r="B13" s="17">
        <v>10</v>
      </c>
      <c r="C13" s="4"/>
      <c r="D13" s="18">
        <v>-7061024985401</v>
      </c>
      <c r="E13" s="18">
        <v>-5132237172021</v>
      </c>
    </row>
    <row r="14" spans="1:5" ht="31.5" x14ac:dyDescent="0.25">
      <c r="A14" s="16" t="s">
        <v>118</v>
      </c>
      <c r="B14" s="17">
        <v>11</v>
      </c>
      <c r="C14" s="4"/>
      <c r="D14" s="18">
        <v>4251742399296</v>
      </c>
      <c r="E14" s="18">
        <v>3556649268254</v>
      </c>
    </row>
    <row r="15" spans="1:5" ht="15.75" x14ac:dyDescent="0.25">
      <c r="A15" s="16" t="s">
        <v>119</v>
      </c>
      <c r="B15" s="17">
        <v>12</v>
      </c>
      <c r="C15" s="4"/>
      <c r="D15" s="18">
        <v>-89041139127</v>
      </c>
      <c r="E15" s="18">
        <v>-8476974345</v>
      </c>
    </row>
    <row r="16" spans="1:5" ht="15.75" x14ac:dyDescent="0.25">
      <c r="A16" s="16"/>
      <c r="B16" s="17"/>
      <c r="C16" s="4"/>
      <c r="D16" s="18">
        <v>15659988130982</v>
      </c>
      <c r="E16" s="18">
        <v>10486246179657</v>
      </c>
    </row>
    <row r="17" spans="1:5" ht="15.75" x14ac:dyDescent="0.25">
      <c r="A17" s="16" t="s">
        <v>120</v>
      </c>
      <c r="B17" s="17">
        <v>14</v>
      </c>
      <c r="C17" s="4"/>
      <c r="D17" s="18">
        <v>-2027572222288</v>
      </c>
      <c r="E17" s="18">
        <v>-867276241172</v>
      </c>
    </row>
    <row r="18" spans="1:5" ht="15.75" x14ac:dyDescent="0.25">
      <c r="A18" s="16" t="s">
        <v>121</v>
      </c>
      <c r="B18" s="17">
        <v>15</v>
      </c>
      <c r="C18" s="4"/>
      <c r="D18" s="18">
        <v>-1716802619015</v>
      </c>
      <c r="E18" s="18">
        <v>-1551743688539</v>
      </c>
    </row>
    <row r="19" spans="1:5" ht="31.5" x14ac:dyDescent="0.25">
      <c r="A19" s="16" t="s">
        <v>122</v>
      </c>
      <c r="B19" s="17">
        <v>17</v>
      </c>
      <c r="C19" s="4"/>
      <c r="D19" s="18">
        <v>-328363376705</v>
      </c>
      <c r="E19" s="18">
        <v>-352057555830</v>
      </c>
    </row>
    <row r="20" spans="1:5" ht="31.5" x14ac:dyDescent="0.25">
      <c r="A20" s="11" t="s">
        <v>123</v>
      </c>
      <c r="B20" s="12">
        <v>20</v>
      </c>
      <c r="C20" s="14"/>
      <c r="D20" s="15">
        <v>11587249912974</v>
      </c>
      <c r="E20" s="15">
        <v>7715168694116</v>
      </c>
    </row>
    <row r="21" spans="1:5" ht="15.75" x14ac:dyDescent="0.25">
      <c r="A21" s="117" t="s">
        <v>125</v>
      </c>
      <c r="B21" s="117"/>
      <c r="C21" s="117"/>
      <c r="D21" s="39"/>
      <c r="E21" s="39"/>
    </row>
    <row r="22" spans="1:5" ht="31.5" x14ac:dyDescent="0.25">
      <c r="A22" s="19" t="s">
        <v>126</v>
      </c>
      <c r="B22" s="20">
        <v>21</v>
      </c>
      <c r="C22" s="4"/>
      <c r="D22" s="18">
        <v>-11915645555048</v>
      </c>
      <c r="E22" s="18">
        <v>-20825371574660</v>
      </c>
    </row>
    <row r="23" spans="1:5" ht="31.5" x14ac:dyDescent="0.25">
      <c r="A23" s="19" t="s">
        <v>127</v>
      </c>
      <c r="B23" s="20">
        <v>22</v>
      </c>
      <c r="C23" s="4"/>
      <c r="D23" s="18">
        <v>34418355881</v>
      </c>
      <c r="E23" s="18">
        <v>26937572033</v>
      </c>
    </row>
    <row r="24" spans="1:5" ht="31.5" x14ac:dyDescent="0.25">
      <c r="A24" s="19" t="s">
        <v>128</v>
      </c>
      <c r="B24" s="20">
        <v>23</v>
      </c>
      <c r="C24" s="4"/>
      <c r="D24" s="18">
        <v>-11971173251594</v>
      </c>
      <c r="E24" s="18">
        <v>-4467553072509</v>
      </c>
    </row>
    <row r="25" spans="1:5" ht="31.5" x14ac:dyDescent="0.25">
      <c r="A25" s="19" t="s">
        <v>129</v>
      </c>
      <c r="B25" s="20">
        <v>24</v>
      </c>
      <c r="C25" s="4"/>
      <c r="D25" s="18">
        <v>5003441426581</v>
      </c>
      <c r="E25" s="18">
        <v>6832224480334</v>
      </c>
    </row>
    <row r="26" spans="1:5" ht="15.75" x14ac:dyDescent="0.25">
      <c r="A26" s="19" t="s">
        <v>131</v>
      </c>
      <c r="B26" s="20">
        <v>27</v>
      </c>
      <c r="C26" s="4"/>
      <c r="D26" s="18">
        <v>353560779277</v>
      </c>
      <c r="E26" s="18">
        <v>369546551545</v>
      </c>
    </row>
    <row r="27" spans="1:5" ht="31.5" x14ac:dyDescent="0.25">
      <c r="A27" s="21" t="s">
        <v>132</v>
      </c>
      <c r="B27" s="32">
        <v>30</v>
      </c>
      <c r="C27" s="14"/>
      <c r="D27" s="13" t="s">
        <v>161</v>
      </c>
      <c r="E27" s="13">
        <v>-18064216043257</v>
      </c>
    </row>
    <row r="28" spans="1:5" ht="15.75" x14ac:dyDescent="0.25">
      <c r="A28" s="117" t="s">
        <v>142</v>
      </c>
      <c r="B28" s="117"/>
      <c r="C28" s="117"/>
      <c r="D28" s="39"/>
      <c r="E28" s="39"/>
    </row>
    <row r="29" spans="1:5" ht="47.25" x14ac:dyDescent="0.25">
      <c r="A29" s="19" t="s">
        <v>133</v>
      </c>
      <c r="B29" s="20">
        <v>31</v>
      </c>
      <c r="C29" s="4"/>
      <c r="D29" s="18">
        <v>2700000000</v>
      </c>
      <c r="E29" s="18">
        <v>85000000</v>
      </c>
    </row>
    <row r="30" spans="1:5" ht="15.75" x14ac:dyDescent="0.25">
      <c r="A30" s="19" t="s">
        <v>134</v>
      </c>
      <c r="B30" s="20">
        <v>33</v>
      </c>
      <c r="C30" s="4"/>
      <c r="D30" s="18">
        <v>83074115401537</v>
      </c>
      <c r="E30" s="18">
        <v>67944184644118</v>
      </c>
    </row>
    <row r="31" spans="1:5" ht="15.75" x14ac:dyDescent="0.25">
      <c r="A31" s="19" t="s">
        <v>135</v>
      </c>
      <c r="B31" s="20">
        <v>34</v>
      </c>
      <c r="C31" s="4"/>
      <c r="D31" s="18">
        <v>-65603640057528</v>
      </c>
      <c r="E31" s="18">
        <v>-55553681828677</v>
      </c>
    </row>
    <row r="32" spans="1:5" ht="15.75" x14ac:dyDescent="0.25">
      <c r="A32" s="19" t="s">
        <v>136</v>
      </c>
      <c r="B32" s="20">
        <v>36</v>
      </c>
      <c r="C32" s="4"/>
      <c r="D32" s="18">
        <v>-1419473748756</v>
      </c>
      <c r="E32" s="18">
        <v>-12646859136</v>
      </c>
    </row>
    <row r="33" spans="1:5" ht="31.5" x14ac:dyDescent="0.25">
      <c r="A33" s="21" t="s">
        <v>141</v>
      </c>
      <c r="B33" s="32">
        <v>40</v>
      </c>
      <c r="C33" s="14"/>
      <c r="D33" s="13">
        <v>16053701595253</v>
      </c>
      <c r="E33" s="13">
        <v>12377940956305</v>
      </c>
    </row>
    <row r="34" spans="1:5" ht="31.5" x14ac:dyDescent="0.25">
      <c r="A34" s="21" t="s">
        <v>137</v>
      </c>
      <c r="B34" s="32">
        <v>50</v>
      </c>
      <c r="C34" s="14"/>
      <c r="D34" s="13">
        <v>9145553263324</v>
      </c>
      <c r="E34" s="13">
        <v>2028893607164</v>
      </c>
    </row>
    <row r="35" spans="1:5" ht="31.5" x14ac:dyDescent="0.25">
      <c r="A35" s="21" t="s">
        <v>138</v>
      </c>
      <c r="B35" s="32">
        <v>60</v>
      </c>
      <c r="C35" s="14"/>
      <c r="D35" s="15">
        <v>4544900252204</v>
      </c>
      <c r="E35" s="15">
        <v>2515617135457</v>
      </c>
    </row>
    <row r="36" spans="1:5" ht="31.5" x14ac:dyDescent="0.25">
      <c r="A36" s="21" t="s">
        <v>139</v>
      </c>
      <c r="B36" s="32">
        <v>61</v>
      </c>
      <c r="C36" s="14"/>
      <c r="D36" s="15">
        <v>5645782700</v>
      </c>
      <c r="E36" s="15">
        <v>389509583</v>
      </c>
    </row>
    <row r="37" spans="1:5" ht="31.5" x14ac:dyDescent="0.25">
      <c r="A37" s="21" t="s">
        <v>140</v>
      </c>
      <c r="B37" s="32">
        <v>70</v>
      </c>
      <c r="C37" s="14"/>
      <c r="D37" s="13">
        <v>13696099298228</v>
      </c>
      <c r="E37" s="13">
        <v>4544900252204</v>
      </c>
    </row>
  </sheetData>
  <mergeCells count="3">
    <mergeCell ref="A2:C2"/>
    <mergeCell ref="A21:C21"/>
    <mergeCell ref="A28:C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73" workbookViewId="0">
      <selection sqref="A1:XFD1048576"/>
    </sheetView>
  </sheetViews>
  <sheetFormatPr defaultRowHeight="15.75" x14ac:dyDescent="0.25"/>
  <cols>
    <col min="1" max="1" width="35.42578125" style="6" bestFit="1" customWidth="1"/>
    <col min="2" max="2" width="7.28515625" style="2" customWidth="1"/>
    <col min="3" max="3" width="22.140625" style="2" bestFit="1" customWidth="1"/>
    <col min="4" max="4" width="32.140625" style="36" bestFit="1" customWidth="1"/>
    <col min="5" max="5" width="33.140625" style="36" bestFit="1" customWidth="1"/>
    <col min="6" max="16384" width="9.140625" style="6"/>
  </cols>
  <sheetData>
    <row r="1" spans="1:5" s="10" customFormat="1" ht="42" customHeight="1" x14ac:dyDescent="0.25">
      <c r="A1" s="12"/>
      <c r="B1" s="12" t="s">
        <v>1</v>
      </c>
      <c r="C1" s="12" t="s">
        <v>2</v>
      </c>
      <c r="D1" s="15" t="s">
        <v>147</v>
      </c>
      <c r="E1" s="15" t="s">
        <v>148</v>
      </c>
    </row>
    <row r="2" spans="1:5" x14ac:dyDescent="0.25">
      <c r="A2" s="22" t="s">
        <v>4</v>
      </c>
      <c r="B2" s="17"/>
      <c r="C2" s="17"/>
      <c r="D2" s="25"/>
      <c r="E2" s="25"/>
    </row>
    <row r="3" spans="1:5" s="5" customFormat="1" ht="31.5" x14ac:dyDescent="0.25">
      <c r="A3" s="22" t="s">
        <v>5</v>
      </c>
      <c r="B3" s="12">
        <v>100</v>
      </c>
      <c r="C3" s="12"/>
      <c r="D3" s="13">
        <v>56747258197010</v>
      </c>
      <c r="E3" s="13">
        <v>30436936909894</v>
      </c>
    </row>
    <row r="4" spans="1:5" s="5" customFormat="1" ht="31.5" x14ac:dyDescent="0.25">
      <c r="A4" s="22" t="s">
        <v>6</v>
      </c>
      <c r="B4" s="12">
        <v>110</v>
      </c>
      <c r="C4" s="12">
        <v>5</v>
      </c>
      <c r="D4" s="13">
        <v>13696099298228</v>
      </c>
      <c r="E4" s="13">
        <v>4544900252204</v>
      </c>
    </row>
    <row r="5" spans="1:5" x14ac:dyDescent="0.25">
      <c r="A5" s="24" t="s">
        <v>7</v>
      </c>
      <c r="B5" s="17">
        <v>111</v>
      </c>
      <c r="C5" s="17"/>
      <c r="D5" s="27">
        <v>2094314298228</v>
      </c>
      <c r="E5" s="27">
        <v>1678314252204</v>
      </c>
    </row>
    <row r="6" spans="1:5" x14ac:dyDescent="0.25">
      <c r="A6" s="24" t="s">
        <v>8</v>
      </c>
      <c r="B6" s="17">
        <v>112</v>
      </c>
      <c r="C6" s="17"/>
      <c r="D6" s="27">
        <v>11601785000000</v>
      </c>
      <c r="E6" s="27">
        <v>2866586000000</v>
      </c>
    </row>
    <row r="7" spans="1:5" s="5" customFormat="1" x14ac:dyDescent="0.25">
      <c r="A7" s="22" t="s">
        <v>9</v>
      </c>
      <c r="B7" s="12">
        <v>120</v>
      </c>
      <c r="C7" s="12"/>
      <c r="D7" s="13">
        <v>8126992675380</v>
      </c>
      <c r="E7" s="13">
        <v>1374340352910</v>
      </c>
    </row>
    <row r="8" spans="1:5" x14ac:dyDescent="0.25">
      <c r="A8" s="24" t="s">
        <v>12</v>
      </c>
      <c r="B8" s="17">
        <v>123</v>
      </c>
      <c r="C8" s="17">
        <v>6.1</v>
      </c>
      <c r="D8" s="27">
        <v>8126992675380</v>
      </c>
      <c r="E8" s="27">
        <v>1374340352910</v>
      </c>
    </row>
    <row r="9" spans="1:5" s="5" customFormat="1" x14ac:dyDescent="0.25">
      <c r="A9" s="22" t="s">
        <v>11</v>
      </c>
      <c r="B9" s="12">
        <v>130</v>
      </c>
      <c r="C9" s="12"/>
      <c r="D9" s="13">
        <v>6124790460291</v>
      </c>
      <c r="E9" s="13">
        <v>3561397190688</v>
      </c>
    </row>
    <row r="10" spans="1:5" x14ac:dyDescent="0.25">
      <c r="A10" s="24" t="s">
        <v>10</v>
      </c>
      <c r="B10" s="17">
        <v>131</v>
      </c>
      <c r="C10" s="17"/>
      <c r="D10" s="27">
        <v>3949486943250</v>
      </c>
      <c r="E10" s="27">
        <v>2699937350329</v>
      </c>
    </row>
    <row r="11" spans="1:5" x14ac:dyDescent="0.25">
      <c r="A11" s="24" t="s">
        <v>17</v>
      </c>
      <c r="B11" s="17">
        <v>132</v>
      </c>
      <c r="C11" s="17">
        <v>7</v>
      </c>
      <c r="D11" s="27">
        <v>1303037835829</v>
      </c>
      <c r="E11" s="27">
        <v>757832561191</v>
      </c>
    </row>
    <row r="12" spans="1:5" x14ac:dyDescent="0.25">
      <c r="A12" s="24" t="s">
        <v>23</v>
      </c>
      <c r="B12" s="17">
        <v>136</v>
      </c>
      <c r="C12" s="17">
        <v>8.1</v>
      </c>
      <c r="D12" s="27">
        <v>910365502671</v>
      </c>
      <c r="E12" s="27">
        <v>139273246353</v>
      </c>
    </row>
    <row r="13" spans="1:5" ht="31.5" x14ac:dyDescent="0.25">
      <c r="A13" s="24" t="s">
        <v>18</v>
      </c>
      <c r="B13" s="17">
        <v>137</v>
      </c>
      <c r="C13" s="17"/>
      <c r="D13" s="27">
        <v>-39336197606</v>
      </c>
      <c r="E13" s="27">
        <v>-37145790132</v>
      </c>
    </row>
    <row r="14" spans="1:5" x14ac:dyDescent="0.25">
      <c r="A14" s="24" t="s">
        <v>19</v>
      </c>
      <c r="B14" s="17">
        <v>139</v>
      </c>
      <c r="C14" s="17"/>
      <c r="D14" s="27">
        <v>1236376147</v>
      </c>
      <c r="E14" s="27">
        <v>1499822947</v>
      </c>
    </row>
    <row r="15" spans="1:5" s="5" customFormat="1" x14ac:dyDescent="0.25">
      <c r="A15" s="22" t="s">
        <v>24</v>
      </c>
      <c r="B15" s="12">
        <v>140</v>
      </c>
      <c r="C15" s="12">
        <v>9</v>
      </c>
      <c r="D15" s="13">
        <v>26286822229202</v>
      </c>
      <c r="E15" s="13">
        <v>19411922748095</v>
      </c>
    </row>
    <row r="16" spans="1:5" x14ac:dyDescent="0.25">
      <c r="A16" s="24" t="s">
        <v>24</v>
      </c>
      <c r="B16" s="17">
        <v>141</v>
      </c>
      <c r="C16" s="17"/>
      <c r="D16" s="27">
        <v>26373360826788</v>
      </c>
      <c r="E16" s="27">
        <v>19480666530260</v>
      </c>
    </row>
    <row r="17" spans="1:5" x14ac:dyDescent="0.25">
      <c r="A17" s="24" t="s">
        <v>144</v>
      </c>
      <c r="B17" s="17">
        <v>149</v>
      </c>
      <c r="C17" s="17"/>
      <c r="D17" s="27">
        <v>-86538597586</v>
      </c>
      <c r="E17" s="27">
        <v>-68743782165</v>
      </c>
    </row>
    <row r="18" spans="1:5" s="5" customFormat="1" x14ac:dyDescent="0.25">
      <c r="A18" s="22" t="s">
        <v>16</v>
      </c>
      <c r="B18" s="12">
        <v>150</v>
      </c>
      <c r="C18" s="12"/>
      <c r="D18" s="13">
        <v>2512553533909</v>
      </c>
      <c r="E18" s="13">
        <v>1544376365997</v>
      </c>
    </row>
    <row r="19" spans="1:5" x14ac:dyDescent="0.25">
      <c r="A19" s="24" t="s">
        <v>15</v>
      </c>
      <c r="B19" s="17">
        <v>151</v>
      </c>
      <c r="C19" s="17">
        <v>16.100000000000001</v>
      </c>
      <c r="D19" s="27">
        <v>141398046799</v>
      </c>
      <c r="E19" s="27">
        <v>118551289085</v>
      </c>
    </row>
    <row r="20" spans="1:5" x14ac:dyDescent="0.25">
      <c r="A20" s="24" t="s">
        <v>13</v>
      </c>
      <c r="B20" s="17">
        <v>152</v>
      </c>
      <c r="C20" s="17"/>
      <c r="D20" s="27">
        <v>2357338685110</v>
      </c>
      <c r="E20" s="27">
        <v>1400159900793</v>
      </c>
    </row>
    <row r="21" spans="1:5" x14ac:dyDescent="0.25">
      <c r="A21" s="24" t="s">
        <v>14</v>
      </c>
      <c r="B21" s="17">
        <v>153</v>
      </c>
      <c r="C21" s="17"/>
      <c r="D21" s="33">
        <v>13816802000</v>
      </c>
      <c r="E21" s="33">
        <v>25665176119</v>
      </c>
    </row>
    <row r="22" spans="1:5" s="5" customFormat="1" ht="31.5" x14ac:dyDescent="0.25">
      <c r="A22" s="22" t="s">
        <v>21</v>
      </c>
      <c r="B22" s="12">
        <v>200</v>
      </c>
      <c r="C22" s="12"/>
      <c r="D22" s="13">
        <v>74764176191827</v>
      </c>
      <c r="E22" s="13">
        <v>71339093190006</v>
      </c>
    </row>
    <row r="23" spans="1:5" s="5" customFormat="1" x14ac:dyDescent="0.25">
      <c r="A23" s="7" t="s">
        <v>25</v>
      </c>
      <c r="B23" s="12">
        <v>210</v>
      </c>
      <c r="C23" s="12"/>
      <c r="D23" s="13">
        <v>305165547431</v>
      </c>
      <c r="E23" s="13">
        <v>27717594984</v>
      </c>
    </row>
    <row r="24" spans="1:5" x14ac:dyDescent="0.25">
      <c r="A24" s="24" t="s">
        <v>146</v>
      </c>
      <c r="B24" s="17">
        <v>215</v>
      </c>
      <c r="C24" s="17">
        <v>10</v>
      </c>
      <c r="D24" s="27">
        <v>96007238800</v>
      </c>
      <c r="E24" s="27">
        <v>4910346000</v>
      </c>
    </row>
    <row r="25" spans="1:5" x14ac:dyDescent="0.25">
      <c r="A25" s="24" t="s">
        <v>26</v>
      </c>
      <c r="B25" s="17">
        <v>216</v>
      </c>
      <c r="C25" s="17">
        <v>8.1999999999999993</v>
      </c>
      <c r="D25" s="27">
        <v>209158308631</v>
      </c>
      <c r="E25" s="27">
        <v>22807248984</v>
      </c>
    </row>
    <row r="26" spans="1:5" s="5" customFormat="1" x14ac:dyDescent="0.25">
      <c r="A26" s="22" t="s">
        <v>27</v>
      </c>
      <c r="B26" s="12">
        <v>220</v>
      </c>
      <c r="C26" s="12"/>
      <c r="D26" s="13">
        <v>65561657180137</v>
      </c>
      <c r="E26" s="13">
        <v>31249493917960</v>
      </c>
    </row>
    <row r="27" spans="1:5" x14ac:dyDescent="0.25">
      <c r="A27" s="24" t="s">
        <v>28</v>
      </c>
      <c r="B27" s="17">
        <v>221</v>
      </c>
      <c r="C27" s="17">
        <v>11</v>
      </c>
      <c r="D27" s="27">
        <v>65307819877543</v>
      </c>
      <c r="E27" s="27">
        <v>30980122434704</v>
      </c>
    </row>
    <row r="28" spans="1:5" x14ac:dyDescent="0.25">
      <c r="A28" s="24" t="s">
        <v>29</v>
      </c>
      <c r="B28" s="17">
        <v>222</v>
      </c>
      <c r="C28" s="17"/>
      <c r="D28" s="27">
        <v>82616601097978</v>
      </c>
      <c r="E28" s="27">
        <v>43804940121895</v>
      </c>
    </row>
    <row r="29" spans="1:5" x14ac:dyDescent="0.25">
      <c r="A29" s="24" t="s">
        <v>30</v>
      </c>
      <c r="B29" s="17">
        <v>223</v>
      </c>
      <c r="C29" s="17"/>
      <c r="D29" s="27">
        <v>-17308781220435</v>
      </c>
      <c r="E29" s="27">
        <v>-12824817687191</v>
      </c>
    </row>
    <row r="30" spans="1:5" x14ac:dyDescent="0.25">
      <c r="A30" s="24" t="s">
        <v>149</v>
      </c>
      <c r="B30" s="17">
        <v>227</v>
      </c>
      <c r="C30" s="17">
        <v>12</v>
      </c>
      <c r="D30" s="27">
        <v>253837302594</v>
      </c>
      <c r="E30" s="27">
        <v>269371483256</v>
      </c>
    </row>
    <row r="31" spans="1:5" x14ac:dyDescent="0.25">
      <c r="A31" s="24" t="s">
        <v>29</v>
      </c>
      <c r="B31" s="17">
        <v>228</v>
      </c>
      <c r="C31" s="17"/>
      <c r="D31" s="27">
        <v>342995279178</v>
      </c>
      <c r="E31" s="27">
        <v>339570963463</v>
      </c>
    </row>
    <row r="32" spans="1:5" x14ac:dyDescent="0.25">
      <c r="A32" s="24" t="s">
        <v>20</v>
      </c>
      <c r="B32" s="17">
        <v>229</v>
      </c>
      <c r="C32" s="17"/>
      <c r="D32" s="27">
        <v>-89157976584</v>
      </c>
      <c r="E32" s="27">
        <v>-70199480207</v>
      </c>
    </row>
    <row r="33" spans="1:5" s="5" customFormat="1" x14ac:dyDescent="0.25">
      <c r="A33" s="22" t="s">
        <v>33</v>
      </c>
      <c r="B33" s="12">
        <v>230</v>
      </c>
      <c r="C33" s="12">
        <v>13</v>
      </c>
      <c r="D33" s="13">
        <v>564296973801</v>
      </c>
      <c r="E33" s="13">
        <v>576616510917</v>
      </c>
    </row>
    <row r="34" spans="1:5" x14ac:dyDescent="0.25">
      <c r="A34" s="24" t="s">
        <v>29</v>
      </c>
      <c r="B34" s="17">
        <v>231</v>
      </c>
      <c r="C34" s="17"/>
      <c r="D34" s="27">
        <v>681931844756</v>
      </c>
      <c r="E34" s="27">
        <v>663239742390</v>
      </c>
    </row>
    <row r="35" spans="1:5" x14ac:dyDescent="0.25">
      <c r="A35" s="24" t="s">
        <v>30</v>
      </c>
      <c r="B35" s="17">
        <v>232</v>
      </c>
      <c r="C35" s="17"/>
      <c r="D35" s="27">
        <v>-117634870955</v>
      </c>
      <c r="E35" s="27">
        <v>-86623231473</v>
      </c>
    </row>
    <row r="36" spans="1:5" s="5" customFormat="1" x14ac:dyDescent="0.25">
      <c r="A36" s="22" t="s">
        <v>35</v>
      </c>
      <c r="B36" s="12">
        <v>240</v>
      </c>
      <c r="C36" s="12"/>
      <c r="D36" s="13">
        <v>6247213506994</v>
      </c>
      <c r="E36" s="13">
        <v>37435320467014</v>
      </c>
    </row>
    <row r="37" spans="1:5" ht="31.5" x14ac:dyDescent="0.25">
      <c r="A37" s="24" t="s">
        <v>34</v>
      </c>
      <c r="B37" s="17">
        <v>241</v>
      </c>
      <c r="C37" s="17">
        <v>14</v>
      </c>
      <c r="D37" s="27">
        <v>918470731946</v>
      </c>
      <c r="E37" s="27">
        <v>750146398723</v>
      </c>
    </row>
    <row r="38" spans="1:5" x14ac:dyDescent="0.25">
      <c r="A38" s="24" t="s">
        <v>36</v>
      </c>
      <c r="B38" s="17">
        <v>242</v>
      </c>
      <c r="C38" s="17">
        <v>15</v>
      </c>
      <c r="D38" s="27">
        <v>5328742775048</v>
      </c>
      <c r="E38" s="27">
        <v>36685174068291</v>
      </c>
    </row>
    <row r="39" spans="1:5" s="5" customFormat="1" x14ac:dyDescent="0.25">
      <c r="A39" s="22" t="s">
        <v>37</v>
      </c>
      <c r="B39" s="12">
        <v>250</v>
      </c>
      <c r="C39" s="34"/>
      <c r="D39" s="13">
        <v>171085206311</v>
      </c>
      <c r="E39" s="13">
        <v>45794216642</v>
      </c>
    </row>
    <row r="40" spans="1:5" x14ac:dyDescent="0.25">
      <c r="A40" s="24" t="s">
        <v>40</v>
      </c>
      <c r="B40" s="17">
        <v>252</v>
      </c>
      <c r="C40" s="17"/>
      <c r="D40" s="27">
        <v>385206311</v>
      </c>
      <c r="E40" s="27">
        <v>-1431313615</v>
      </c>
    </row>
    <row r="41" spans="1:5" x14ac:dyDescent="0.25">
      <c r="A41" s="24" t="s">
        <v>41</v>
      </c>
      <c r="B41" s="17">
        <v>253</v>
      </c>
      <c r="C41" s="17">
        <v>6.2</v>
      </c>
      <c r="D41" s="27">
        <v>700000000</v>
      </c>
      <c r="E41" s="27">
        <v>700000000</v>
      </c>
    </row>
    <row r="42" spans="1:5" x14ac:dyDescent="0.25">
      <c r="A42" s="24" t="s">
        <v>42</v>
      </c>
      <c r="B42" s="17">
        <v>255</v>
      </c>
      <c r="C42" s="17">
        <v>6.1</v>
      </c>
      <c r="D42" s="27">
        <v>170000000000</v>
      </c>
      <c r="E42" s="27">
        <v>46525530257</v>
      </c>
    </row>
    <row r="43" spans="1:5" s="5" customFormat="1" x14ac:dyDescent="0.25">
      <c r="A43" s="22" t="s">
        <v>32</v>
      </c>
      <c r="B43" s="12">
        <v>260</v>
      </c>
      <c r="C43" s="12"/>
      <c r="D43" s="13">
        <v>1914757777153</v>
      </c>
      <c r="E43" s="13">
        <v>2004150482489</v>
      </c>
    </row>
    <row r="44" spans="1:5" x14ac:dyDescent="0.25">
      <c r="A44" s="24" t="s">
        <v>150</v>
      </c>
      <c r="B44" s="17">
        <v>261</v>
      </c>
      <c r="C44" s="17">
        <v>16.2</v>
      </c>
      <c r="D44" s="27">
        <v>1646094518464</v>
      </c>
      <c r="E44" s="27">
        <v>1650738623090</v>
      </c>
    </row>
    <row r="45" spans="1:5" x14ac:dyDescent="0.25">
      <c r="A45" s="24" t="s">
        <v>43</v>
      </c>
      <c r="B45" s="17">
        <v>262</v>
      </c>
      <c r="C45" s="17">
        <v>17</v>
      </c>
      <c r="D45" s="27">
        <v>225553308024</v>
      </c>
      <c r="E45" s="27">
        <v>292226687882</v>
      </c>
    </row>
    <row r="46" spans="1:5" x14ac:dyDescent="0.25">
      <c r="A46" s="24" t="s">
        <v>39</v>
      </c>
      <c r="B46" s="17">
        <v>269</v>
      </c>
      <c r="C46" s="17">
        <v>18</v>
      </c>
      <c r="D46" s="27">
        <v>43109950665</v>
      </c>
      <c r="E46" s="27">
        <v>61185171517</v>
      </c>
    </row>
    <row r="47" spans="1:5" s="5" customFormat="1" x14ac:dyDescent="0.25">
      <c r="A47" s="22" t="s">
        <v>38</v>
      </c>
      <c r="B47" s="12">
        <v>270</v>
      </c>
      <c r="C47" s="12"/>
      <c r="D47" s="13">
        <v>131511434388837</v>
      </c>
      <c r="E47" s="13">
        <v>101776030099900</v>
      </c>
    </row>
    <row r="48" spans="1:5" s="5" customFormat="1" x14ac:dyDescent="0.25">
      <c r="A48" s="22" t="s">
        <v>44</v>
      </c>
      <c r="B48" s="12"/>
      <c r="C48" s="17"/>
      <c r="D48" s="7"/>
      <c r="E48" s="7"/>
    </row>
    <row r="49" spans="1:5" s="5" customFormat="1" x14ac:dyDescent="0.25">
      <c r="A49" s="22" t="s">
        <v>45</v>
      </c>
      <c r="B49" s="12">
        <v>300</v>
      </c>
      <c r="C49" s="12"/>
      <c r="D49" s="13">
        <v>72291648082726</v>
      </c>
      <c r="E49" s="13">
        <v>53989393956205</v>
      </c>
    </row>
    <row r="50" spans="1:5" s="5" customFormat="1" x14ac:dyDescent="0.25">
      <c r="A50" s="22" t="s">
        <v>46</v>
      </c>
      <c r="B50" s="12">
        <v>310</v>
      </c>
      <c r="C50" s="12"/>
      <c r="D50" s="13">
        <v>51975217447498</v>
      </c>
      <c r="E50" s="13">
        <v>26984198187977</v>
      </c>
    </row>
    <row r="51" spans="1:5" x14ac:dyDescent="0.25">
      <c r="A51" s="24" t="s">
        <v>47</v>
      </c>
      <c r="B51" s="17">
        <v>311</v>
      </c>
      <c r="C51" s="17"/>
      <c r="D51" s="27">
        <v>10915752723952</v>
      </c>
      <c r="E51" s="27">
        <v>7507198913115</v>
      </c>
    </row>
    <row r="52" spans="1:5" x14ac:dyDescent="0.25">
      <c r="A52" s="24" t="s">
        <v>48</v>
      </c>
      <c r="B52" s="17">
        <v>312</v>
      </c>
      <c r="C52" s="17">
        <v>19</v>
      </c>
      <c r="D52" s="27">
        <v>1257272765123</v>
      </c>
      <c r="E52" s="27">
        <v>408691837688</v>
      </c>
    </row>
    <row r="53" spans="1:5" ht="16.5" customHeight="1" x14ac:dyDescent="0.25">
      <c r="A53" s="24" t="s">
        <v>49</v>
      </c>
      <c r="B53" s="17">
        <v>313</v>
      </c>
      <c r="C53" s="17">
        <v>20</v>
      </c>
      <c r="D53" s="27">
        <v>548579261453</v>
      </c>
      <c r="E53" s="27">
        <v>478426384718</v>
      </c>
    </row>
    <row r="54" spans="1:5" x14ac:dyDescent="0.25">
      <c r="A54" s="24" t="s">
        <v>50</v>
      </c>
      <c r="B54" s="17">
        <v>314</v>
      </c>
      <c r="C54" s="17"/>
      <c r="D54" s="27">
        <v>313099678402</v>
      </c>
      <c r="E54" s="27">
        <v>247936926136</v>
      </c>
    </row>
    <row r="55" spans="1:5" x14ac:dyDescent="0.25">
      <c r="A55" s="24" t="s">
        <v>51</v>
      </c>
      <c r="B55" s="17">
        <v>315</v>
      </c>
      <c r="C55" s="17">
        <v>21.1</v>
      </c>
      <c r="D55" s="27">
        <v>640129684182</v>
      </c>
      <c r="E55" s="27">
        <v>429777297411</v>
      </c>
    </row>
    <row r="56" spans="1:5" x14ac:dyDescent="0.25">
      <c r="A56" s="24" t="s">
        <v>79</v>
      </c>
      <c r="B56" s="17">
        <v>318</v>
      </c>
      <c r="C56" s="17"/>
      <c r="D56" s="27">
        <v>34564307818</v>
      </c>
      <c r="E56" s="27">
        <v>27406111996</v>
      </c>
    </row>
    <row r="57" spans="1:5" x14ac:dyDescent="0.25">
      <c r="A57" s="24" t="s">
        <v>52</v>
      </c>
      <c r="B57" s="17">
        <v>319</v>
      </c>
      <c r="C57" s="17">
        <v>22.1</v>
      </c>
      <c r="D57" s="27">
        <v>328061400351</v>
      </c>
      <c r="E57" s="27">
        <v>237391747239</v>
      </c>
    </row>
    <row r="58" spans="1:5" x14ac:dyDescent="0.25">
      <c r="A58" s="24" t="s">
        <v>53</v>
      </c>
      <c r="B58" s="17">
        <v>320</v>
      </c>
      <c r="C58" s="17">
        <v>23.1</v>
      </c>
      <c r="D58" s="27">
        <v>36798465672104</v>
      </c>
      <c r="E58" s="27">
        <v>16837653470387</v>
      </c>
    </row>
    <row r="59" spans="1:5" x14ac:dyDescent="0.25">
      <c r="A59" s="24" t="s">
        <v>54</v>
      </c>
      <c r="B59" s="17">
        <v>321</v>
      </c>
      <c r="C59" s="17">
        <v>24</v>
      </c>
      <c r="D59" s="27">
        <v>5846534626</v>
      </c>
      <c r="E59" s="27">
        <v>3111122885</v>
      </c>
    </row>
    <row r="60" spans="1:5" x14ac:dyDescent="0.25">
      <c r="A60" s="24" t="s">
        <v>55</v>
      </c>
      <c r="B60" s="17">
        <v>322</v>
      </c>
      <c r="C60" s="17">
        <v>25</v>
      </c>
      <c r="D60" s="27">
        <v>1133445419487</v>
      </c>
      <c r="E60" s="27">
        <v>806604376402</v>
      </c>
    </row>
    <row r="61" spans="1:5" s="5" customFormat="1" x14ac:dyDescent="0.25">
      <c r="A61" s="22" t="s">
        <v>56</v>
      </c>
      <c r="B61" s="12">
        <v>330</v>
      </c>
      <c r="C61" s="12"/>
      <c r="D61" s="13">
        <v>20316430635228</v>
      </c>
      <c r="E61" s="13">
        <v>27005195768228</v>
      </c>
    </row>
    <row r="62" spans="1:5" x14ac:dyDescent="0.25">
      <c r="A62" s="24" t="s">
        <v>78</v>
      </c>
      <c r="B62" s="17">
        <v>331</v>
      </c>
      <c r="C62" s="17"/>
      <c r="D62" s="27">
        <v>2637987658239</v>
      </c>
      <c r="E62" s="27">
        <v>6652492138554</v>
      </c>
    </row>
    <row r="63" spans="1:5" x14ac:dyDescent="0.25">
      <c r="A63" s="24" t="s">
        <v>57</v>
      </c>
      <c r="B63" s="17">
        <v>333</v>
      </c>
      <c r="C63" s="17">
        <v>21.2</v>
      </c>
      <c r="D63" s="27">
        <v>223664493846</v>
      </c>
      <c r="E63" s="27">
        <v>427328992030</v>
      </c>
    </row>
    <row r="64" spans="1:5" x14ac:dyDescent="0.25">
      <c r="A64" s="24" t="s">
        <v>58</v>
      </c>
      <c r="B64" s="17">
        <v>336</v>
      </c>
      <c r="C64" s="17"/>
      <c r="D64" s="27">
        <v>16127650192</v>
      </c>
      <c r="E64" s="27">
        <v>3369818100</v>
      </c>
    </row>
    <row r="65" spans="1:5" x14ac:dyDescent="0.25">
      <c r="A65" s="24" t="s">
        <v>151</v>
      </c>
      <c r="B65" s="17">
        <v>337</v>
      </c>
      <c r="C65" s="17">
        <v>22.2</v>
      </c>
      <c r="D65" s="27">
        <v>68736086170</v>
      </c>
      <c r="E65" s="27">
        <v>58387110781</v>
      </c>
    </row>
    <row r="66" spans="1:5" x14ac:dyDescent="0.25">
      <c r="A66" s="24" t="s">
        <v>60</v>
      </c>
      <c r="B66" s="17">
        <v>338</v>
      </c>
      <c r="C66" s="17">
        <v>23.2</v>
      </c>
      <c r="D66" s="27">
        <v>17343247551512</v>
      </c>
      <c r="E66" s="27">
        <v>1984209921972</v>
      </c>
    </row>
    <row r="67" spans="1:5" x14ac:dyDescent="0.25">
      <c r="A67" s="24" t="s">
        <v>61</v>
      </c>
      <c r="B67" s="17">
        <v>341</v>
      </c>
      <c r="C67" s="35"/>
      <c r="D67" s="33">
        <v>666262529</v>
      </c>
      <c r="E67" s="33">
        <v>1104751459</v>
      </c>
    </row>
    <row r="68" spans="1:5" x14ac:dyDescent="0.25">
      <c r="A68" s="24" t="s">
        <v>62</v>
      </c>
      <c r="B68" s="17">
        <v>342</v>
      </c>
      <c r="C68" s="17">
        <v>24</v>
      </c>
      <c r="D68" s="18">
        <v>26000932740</v>
      </c>
      <c r="E68" s="18">
        <v>20413373584</v>
      </c>
    </row>
    <row r="69" spans="1:5" s="5" customFormat="1" x14ac:dyDescent="0.25">
      <c r="A69" s="22" t="s">
        <v>64</v>
      </c>
      <c r="B69" s="12">
        <v>400</v>
      </c>
      <c r="C69" s="17"/>
      <c r="D69" s="18">
        <v>59219786306111</v>
      </c>
      <c r="E69" s="18">
        <v>47786636143695</v>
      </c>
    </row>
    <row r="70" spans="1:5" s="5" customFormat="1" x14ac:dyDescent="0.25">
      <c r="A70" s="22" t="s">
        <v>76</v>
      </c>
      <c r="B70" s="12">
        <v>410</v>
      </c>
      <c r="C70" s="12">
        <v>26</v>
      </c>
      <c r="D70" s="15">
        <v>59219786306111</v>
      </c>
      <c r="E70" s="15">
        <v>47786636143695</v>
      </c>
    </row>
    <row r="71" spans="1:5" x14ac:dyDescent="0.25">
      <c r="A71" s="24" t="s">
        <v>77</v>
      </c>
      <c r="B71" s="17">
        <v>411</v>
      </c>
      <c r="C71" s="17">
        <v>27</v>
      </c>
      <c r="D71" s="18">
        <v>33132826590000</v>
      </c>
      <c r="E71" s="18">
        <v>27610741150000</v>
      </c>
    </row>
    <row r="72" spans="1:5" s="31" customFormat="1" ht="31.5" x14ac:dyDescent="0.25">
      <c r="A72" s="26" t="s">
        <v>65</v>
      </c>
      <c r="B72" s="29" t="s">
        <v>66</v>
      </c>
      <c r="C72" s="29"/>
      <c r="D72" s="30">
        <v>33132826590000</v>
      </c>
      <c r="E72" s="30">
        <v>27610741150000</v>
      </c>
    </row>
    <row r="73" spans="1:5" x14ac:dyDescent="0.25">
      <c r="A73" s="24" t="s">
        <v>67</v>
      </c>
      <c r="B73" s="17">
        <v>412</v>
      </c>
      <c r="C73" s="17"/>
      <c r="D73" s="18">
        <v>3211560416270</v>
      </c>
      <c r="E73" s="18">
        <v>3211560416270</v>
      </c>
    </row>
    <row r="74" spans="1:5" x14ac:dyDescent="0.25">
      <c r="A74" s="24" t="s">
        <v>68</v>
      </c>
      <c r="B74" s="17">
        <v>417</v>
      </c>
      <c r="C74" s="17"/>
      <c r="D74" s="18">
        <v>5568369072</v>
      </c>
      <c r="E74" s="18">
        <v>565534994</v>
      </c>
    </row>
    <row r="75" spans="1:5" x14ac:dyDescent="0.25">
      <c r="A75" s="24" t="s">
        <v>69</v>
      </c>
      <c r="B75" s="17">
        <v>418</v>
      </c>
      <c r="C75" s="17"/>
      <c r="D75" s="18">
        <v>928641612156</v>
      </c>
      <c r="E75" s="18">
        <v>923641612156</v>
      </c>
    </row>
    <row r="76" spans="1:5" x14ac:dyDescent="0.25">
      <c r="A76" s="24" t="s">
        <v>75</v>
      </c>
      <c r="B76" s="17">
        <v>421</v>
      </c>
      <c r="C76" s="17"/>
      <c r="D76" s="18">
        <v>21792442633285</v>
      </c>
      <c r="E76" s="18">
        <v>15876913750948</v>
      </c>
    </row>
    <row r="77" spans="1:5" s="31" customFormat="1" ht="31.5" x14ac:dyDescent="0.25">
      <c r="A77" s="26" t="s">
        <v>70</v>
      </c>
      <c r="B77" s="29" t="s">
        <v>72</v>
      </c>
      <c r="C77" s="29"/>
      <c r="D77" s="30">
        <v>8342142580473</v>
      </c>
      <c r="E77" s="30">
        <v>8349470883074</v>
      </c>
    </row>
    <row r="78" spans="1:5" s="31" customFormat="1" x14ac:dyDescent="0.25">
      <c r="A78" s="26" t="s">
        <v>71</v>
      </c>
      <c r="B78" s="29" t="s">
        <v>63</v>
      </c>
      <c r="C78" s="29"/>
      <c r="D78" s="30">
        <v>13450300052812</v>
      </c>
      <c r="E78" s="30">
        <v>7527442867874</v>
      </c>
    </row>
    <row r="79" spans="1:5" x14ac:dyDescent="0.25">
      <c r="A79" s="24" t="s">
        <v>73</v>
      </c>
      <c r="B79" s="17">
        <v>429</v>
      </c>
      <c r="C79" s="17"/>
      <c r="D79" s="18">
        <v>148746685328</v>
      </c>
      <c r="E79" s="18">
        <v>163213679327</v>
      </c>
    </row>
    <row r="80" spans="1:5" s="5" customFormat="1" ht="31.5" x14ac:dyDescent="0.25">
      <c r="A80" s="22" t="s">
        <v>74</v>
      </c>
      <c r="B80" s="12">
        <v>440</v>
      </c>
      <c r="C80" s="12"/>
      <c r="D80" s="13">
        <v>131511434388837</v>
      </c>
      <c r="E80" s="13">
        <v>101776030099900</v>
      </c>
    </row>
    <row r="81" spans="3:5" x14ac:dyDescent="0.25">
      <c r="D81" s="6"/>
      <c r="E81" s="6"/>
    </row>
    <row r="82" spans="3:5" x14ac:dyDescent="0.25">
      <c r="D82" s="6"/>
      <c r="E82" s="6"/>
    </row>
    <row r="84" spans="3:5" x14ac:dyDescent="0.25">
      <c r="C84" s="2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Cân đối kt</vt:lpstr>
      <vt:lpstr>bc kqhdkd</vt:lpstr>
      <vt:lpstr>KQHDKD</vt:lpstr>
      <vt:lpstr>lưu chuyển tt</vt:lpstr>
      <vt:lpstr>Khả năng thanh toán</vt:lpstr>
      <vt:lpstr>Hiệu quả kinh doanh</vt:lpstr>
      <vt:lpstr>Sheet1</vt:lpstr>
      <vt:lpstr>ref cash flow</vt:lpstr>
      <vt:lpstr>CDKT 2019-2020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2022-06-17T16:17:24Z</dcterms:created>
  <dcterms:modified xsi:type="dcterms:W3CDTF">2022-06-24T17:53:28Z</dcterms:modified>
</cp:coreProperties>
</file>