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MICODE\Downloads\"/>
    </mc:Choice>
  </mc:AlternateContent>
  <bookViews>
    <workbookView xWindow="0" yWindow="0" windowWidth="14370" windowHeight="5415" activeTab="5"/>
  </bookViews>
  <sheets>
    <sheet name="Home Page" sheetId="1" r:id="rId1"/>
    <sheet name="Name Range, F&amp;F" sheetId="2" r:id="rId2"/>
    <sheet name="Formatting" sheetId="3" r:id="rId3"/>
    <sheet name="Reference" sheetId="4" r:id="rId4"/>
    <sheet name="DataSet" sheetId="5" r:id="rId5"/>
    <sheet name="VlookUp_Index&amp;Match" sheetId="6" r:id="rId6"/>
  </sheets>
  <definedNames>
    <definedName name="channel">#REF!</definedName>
    <definedName name="City">Formatting!$I$2:$I$39</definedName>
    <definedName name="Departmental_session">'Name Range, F&amp;F'!$B$40:$B$74</definedName>
    <definedName name="difference">'Name Range, F&amp;F'!$F$40:$F$74</definedName>
    <definedName name="ghyn">'Name Range, F&amp;F'!$L$42</definedName>
    <definedName name="Governor">Formatting!$J$2:$J$39</definedName>
    <definedName name="months">'Name Range, F&amp;F'!$B$10:$B$20</definedName>
    <definedName name="motto">Formatting!$K$2:$K$39</definedName>
    <definedName name="periodical_table">DataSet!$A$3:$K$109</definedName>
    <definedName name="population">Formatting!$L$2:$L$39</definedName>
    <definedName name="standard_table">#REF!</definedName>
    <definedName name="STATES">Formatting!$H$2:$H$39</definedName>
    <definedName name="table_6">#REF!</definedName>
    <definedName name="Teams1to3">'Name Range, F&amp;F'!$C$10:$C$20</definedName>
    <definedName name="Total_sale">'Name Range, F&amp;F'!$D$10:$D$20</definedName>
    <definedName name="Traning_budget">'Name Range, F&amp;F'!$D$39:$D$74</definedName>
    <definedName name="Traning_cost">'Name Range, F&amp;F'!$E$40:$E$74</definedName>
    <definedName name="utiva_table">DataSet!$A$1:$K$109</definedName>
    <definedName name="year_18_19_20">'Name Range, F&amp;F'!$C$40:$C$74</definedName>
    <definedName name="year_val">'Name Range, F&amp;F'!$C$40:$C$74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wOAUv5uqmAOo/LG3pPC5yKdzEnjnT8SIylmRp+vds28="/>
    </ext>
  </extLst>
</workbook>
</file>

<file path=xl/calcChain.xml><?xml version="1.0" encoding="utf-8"?>
<calcChain xmlns="http://schemas.openxmlformats.org/spreadsheetml/2006/main">
  <c r="L29" i="6" l="1"/>
  <c r="L30" i="6"/>
  <c r="L31" i="6"/>
  <c r="L32" i="6"/>
  <c r="L28" i="6"/>
  <c r="K29" i="6"/>
  <c r="K30" i="6"/>
  <c r="K31" i="6"/>
  <c r="K32" i="6"/>
  <c r="K28" i="6"/>
  <c r="J29" i="6"/>
  <c r="J30" i="6"/>
  <c r="J31" i="6"/>
  <c r="J32" i="6"/>
  <c r="J28" i="6"/>
  <c r="E29" i="6"/>
  <c r="E30" i="6"/>
  <c r="E31" i="6"/>
  <c r="E32" i="6"/>
  <c r="E28" i="6"/>
  <c r="D29" i="6"/>
  <c r="D30" i="6"/>
  <c r="D31" i="6"/>
  <c r="D32" i="6"/>
  <c r="D28" i="6"/>
  <c r="C29" i="6"/>
  <c r="C30" i="6"/>
  <c r="C31" i="6"/>
  <c r="C32" i="6"/>
  <c r="C28" i="6"/>
  <c r="J69" i="2"/>
  <c r="J70" i="2"/>
  <c r="J71" i="2"/>
  <c r="J72" i="2"/>
  <c r="J68" i="2"/>
  <c r="I69" i="2"/>
  <c r="I70" i="2"/>
  <c r="I71" i="2"/>
  <c r="I72" i="2"/>
  <c r="I68" i="2"/>
  <c r="C33" i="2" l="1"/>
  <c r="C32" i="2"/>
  <c r="C31" i="2"/>
  <c r="L39" i="6"/>
  <c r="L40" i="6"/>
  <c r="L41" i="6"/>
  <c r="L42" i="6"/>
  <c r="L43" i="6"/>
  <c r="L44" i="6"/>
  <c r="L38" i="6"/>
  <c r="K39" i="6"/>
  <c r="K40" i="6"/>
  <c r="K41" i="6"/>
  <c r="K42" i="6"/>
  <c r="K43" i="6"/>
  <c r="K44" i="6"/>
  <c r="K38" i="6"/>
  <c r="J39" i="6"/>
  <c r="J40" i="6"/>
  <c r="J41" i="6"/>
  <c r="J42" i="6"/>
  <c r="J43" i="6"/>
  <c r="J44" i="6"/>
  <c r="J38" i="6"/>
  <c r="L27" i="6"/>
  <c r="L26" i="6"/>
  <c r="K27" i="6"/>
  <c r="K26" i="6"/>
  <c r="K26" i="5"/>
  <c r="J27" i="6"/>
  <c r="J26" i="6"/>
  <c r="L22" i="6"/>
  <c r="L18" i="6"/>
  <c r="L19" i="6"/>
  <c r="L20" i="6"/>
  <c r="L21" i="6"/>
  <c r="L17" i="6"/>
  <c r="K22" i="6"/>
  <c r="K18" i="6"/>
  <c r="K19" i="6"/>
  <c r="K20" i="6"/>
  <c r="K21" i="6"/>
  <c r="K17" i="6"/>
  <c r="K17" i="5"/>
  <c r="J22" i="6"/>
  <c r="J18" i="6"/>
  <c r="J19" i="6"/>
  <c r="J20" i="6"/>
  <c r="J21" i="6"/>
  <c r="J17" i="6"/>
  <c r="J10" i="6"/>
  <c r="J11" i="6"/>
  <c r="J12" i="6"/>
  <c r="J13" i="6"/>
  <c r="E39" i="6"/>
  <c r="E40" i="6"/>
  <c r="E41" i="6"/>
  <c r="E42" i="6"/>
  <c r="E43" i="6"/>
  <c r="E44" i="6"/>
  <c r="E38" i="6"/>
  <c r="D39" i="6"/>
  <c r="D40" i="6"/>
  <c r="D41" i="6"/>
  <c r="D42" i="6"/>
  <c r="D43" i="6"/>
  <c r="D44" i="6"/>
  <c r="D38" i="6"/>
  <c r="C39" i="6"/>
  <c r="C40" i="6"/>
  <c r="C41" i="6"/>
  <c r="C42" i="6"/>
  <c r="C43" i="6"/>
  <c r="C44" i="6"/>
  <c r="C38" i="6"/>
  <c r="E27" i="6"/>
  <c r="E26" i="6"/>
  <c r="D27" i="6"/>
  <c r="D26" i="6"/>
  <c r="C27" i="6"/>
  <c r="C26" i="6"/>
  <c r="E22" i="6"/>
  <c r="E21" i="6"/>
  <c r="E20" i="6"/>
  <c r="E19" i="6"/>
  <c r="E18" i="6"/>
  <c r="E17" i="6"/>
  <c r="D18" i="6"/>
  <c r="D19" i="6"/>
  <c r="D20" i="6"/>
  <c r="D21" i="6"/>
  <c r="D22" i="6"/>
  <c r="D17" i="6"/>
  <c r="C18" i="6"/>
  <c r="C19" i="6"/>
  <c r="C20" i="6"/>
  <c r="C21" i="6"/>
  <c r="C22" i="6"/>
  <c r="C17" i="6"/>
  <c r="C11" i="6"/>
  <c r="C12" i="6"/>
  <c r="C13" i="6"/>
  <c r="C10" i="6"/>
  <c r="Q6" i="4"/>
  <c r="Q7" i="4"/>
  <c r="Q8" i="4"/>
  <c r="Q9" i="4"/>
  <c r="Q10" i="4"/>
  <c r="Q11" i="4"/>
  <c r="Q12" i="4"/>
  <c r="Q13" i="4"/>
  <c r="Q14" i="4"/>
  <c r="Q15" i="4"/>
  <c r="Q16" i="4"/>
  <c r="Q17" i="4"/>
  <c r="Q18" i="4"/>
  <c r="Q19" i="4"/>
  <c r="Q5" i="4"/>
  <c r="P6" i="4"/>
  <c r="P7" i="4"/>
  <c r="P8" i="4"/>
  <c r="P9" i="4"/>
  <c r="P10" i="4"/>
  <c r="P11" i="4"/>
  <c r="P12" i="4"/>
  <c r="P13" i="4"/>
  <c r="P14" i="4"/>
  <c r="P15" i="4"/>
  <c r="P16" i="4"/>
  <c r="P17" i="4"/>
  <c r="P18" i="4"/>
  <c r="P19" i="4"/>
  <c r="P5" i="4"/>
  <c r="O6" i="4"/>
  <c r="O7" i="4"/>
  <c r="O8" i="4"/>
  <c r="O9" i="4"/>
  <c r="O10" i="4"/>
  <c r="O11" i="4"/>
  <c r="O12" i="4"/>
  <c r="O13" i="4"/>
  <c r="O14" i="4"/>
  <c r="O15" i="4"/>
  <c r="O16" i="4"/>
  <c r="O17" i="4"/>
  <c r="O18" i="4"/>
  <c r="O19" i="4"/>
  <c r="O5" i="4"/>
  <c r="N6" i="4"/>
  <c r="N7" i="4"/>
  <c r="N8" i="4"/>
  <c r="N9" i="4"/>
  <c r="N10" i="4"/>
  <c r="N11" i="4"/>
  <c r="N12" i="4"/>
  <c r="N13" i="4"/>
  <c r="N14" i="4"/>
  <c r="N15" i="4"/>
  <c r="N16" i="4"/>
  <c r="N17" i="4"/>
  <c r="N18" i="4"/>
  <c r="N19" i="4"/>
  <c r="N5" i="4"/>
  <c r="M6" i="4"/>
  <c r="M7" i="4"/>
  <c r="M8" i="4"/>
  <c r="M9" i="4"/>
  <c r="M10" i="4"/>
  <c r="M11" i="4"/>
  <c r="M12" i="4"/>
  <c r="M13" i="4"/>
  <c r="M14" i="4"/>
  <c r="M15" i="4"/>
  <c r="M16" i="4"/>
  <c r="M17" i="4"/>
  <c r="M18" i="4"/>
  <c r="M19" i="4"/>
  <c r="M5" i="4"/>
  <c r="L6" i="4"/>
  <c r="L7" i="4"/>
  <c r="L8" i="4"/>
  <c r="L9" i="4"/>
  <c r="L10" i="4"/>
  <c r="L11" i="4"/>
  <c r="L12" i="4"/>
  <c r="L13" i="4"/>
  <c r="L14" i="4"/>
  <c r="L15" i="4"/>
  <c r="L16" i="4"/>
  <c r="L17" i="4"/>
  <c r="L18" i="4"/>
  <c r="L19" i="4"/>
  <c r="L5" i="4"/>
  <c r="K6" i="4"/>
  <c r="K7" i="4"/>
  <c r="K8" i="4"/>
  <c r="K9" i="4"/>
  <c r="K10" i="4"/>
  <c r="K11" i="4"/>
  <c r="K12" i="4"/>
  <c r="K13" i="4"/>
  <c r="K14" i="4"/>
  <c r="K15" i="4"/>
  <c r="K16" i="4"/>
  <c r="K17" i="4"/>
  <c r="K18" i="4"/>
  <c r="K19" i="4"/>
  <c r="K5" i="4"/>
  <c r="J6" i="4"/>
  <c r="J7" i="4"/>
  <c r="J8" i="4"/>
  <c r="J9" i="4"/>
  <c r="J10" i="4"/>
  <c r="J11" i="4"/>
  <c r="J12" i="4"/>
  <c r="J13" i="4"/>
  <c r="J14" i="4"/>
  <c r="J15" i="4"/>
  <c r="J16" i="4"/>
  <c r="J17" i="4"/>
  <c r="J18" i="4"/>
  <c r="J19" i="4"/>
  <c r="J5" i="4"/>
  <c r="I6" i="4"/>
  <c r="I7" i="4"/>
  <c r="I8" i="4"/>
  <c r="I9" i="4"/>
  <c r="I10" i="4"/>
  <c r="I11" i="4"/>
  <c r="I12" i="4"/>
  <c r="I13" i="4"/>
  <c r="I14" i="4"/>
  <c r="I15" i="4"/>
  <c r="I16" i="4"/>
  <c r="I17" i="4"/>
  <c r="I18" i="4"/>
  <c r="I19" i="4"/>
  <c r="I5" i="4"/>
  <c r="H6" i="4"/>
  <c r="H7" i="4"/>
  <c r="H8" i="4"/>
  <c r="H9" i="4"/>
  <c r="H10" i="4"/>
  <c r="H11" i="4"/>
  <c r="H12" i="4"/>
  <c r="H13" i="4"/>
  <c r="H14" i="4"/>
  <c r="H15" i="4"/>
  <c r="H16" i="4"/>
  <c r="H17" i="4"/>
  <c r="H18" i="4"/>
  <c r="H19" i="4"/>
  <c r="H5" i="4"/>
  <c r="G6" i="4"/>
  <c r="G7" i="4"/>
  <c r="G8" i="4"/>
  <c r="G9" i="4"/>
  <c r="G10" i="4"/>
  <c r="G11" i="4"/>
  <c r="G12" i="4"/>
  <c r="G13" i="4"/>
  <c r="G14" i="4"/>
  <c r="G15" i="4"/>
  <c r="G16" i="4"/>
  <c r="G17" i="4"/>
  <c r="G18" i="4"/>
  <c r="G19" i="4"/>
  <c r="G5" i="4"/>
  <c r="F6" i="4"/>
  <c r="F7" i="4"/>
  <c r="F8" i="4"/>
  <c r="F9" i="4"/>
  <c r="F10" i="4"/>
  <c r="F11" i="4"/>
  <c r="F12" i="4"/>
  <c r="F13" i="4"/>
  <c r="F14" i="4"/>
  <c r="F15" i="4"/>
  <c r="F16" i="4"/>
  <c r="F17" i="4"/>
  <c r="F18" i="4"/>
  <c r="F19" i="4"/>
  <c r="F5" i="4"/>
  <c r="E6" i="4"/>
  <c r="E7" i="4"/>
  <c r="E8" i="4"/>
  <c r="E9" i="4"/>
  <c r="E10" i="4"/>
  <c r="E11" i="4"/>
  <c r="E12" i="4"/>
  <c r="E13" i="4"/>
  <c r="E14" i="4"/>
  <c r="E15" i="4"/>
  <c r="E16" i="4"/>
  <c r="E17" i="4"/>
  <c r="E18" i="4"/>
  <c r="E19" i="4"/>
  <c r="E5" i="4"/>
  <c r="D6" i="4"/>
  <c r="D7" i="4"/>
  <c r="D8" i="4"/>
  <c r="D9" i="4"/>
  <c r="D10" i="4"/>
  <c r="D11" i="4"/>
  <c r="D12" i="4"/>
  <c r="D13" i="4"/>
  <c r="D14" i="4"/>
  <c r="D15" i="4"/>
  <c r="D16" i="4"/>
  <c r="D17" i="4"/>
  <c r="D18" i="4"/>
  <c r="D19" i="4"/>
  <c r="D5" i="4"/>
  <c r="C6" i="4"/>
  <c r="C7" i="4"/>
  <c r="C8" i="4"/>
  <c r="C9" i="4"/>
  <c r="C10" i="4"/>
  <c r="C11" i="4"/>
  <c r="C12" i="4"/>
  <c r="C13" i="4"/>
  <c r="C14" i="4"/>
  <c r="C15" i="4"/>
  <c r="C16" i="4"/>
  <c r="C17" i="4"/>
  <c r="C18" i="4"/>
  <c r="C19" i="4"/>
  <c r="C5" i="4"/>
  <c r="K65" i="2"/>
  <c r="K64" i="2"/>
  <c r="K63" i="2"/>
  <c r="K62" i="2"/>
  <c r="K61" i="2"/>
  <c r="K58" i="2"/>
  <c r="K57" i="2"/>
  <c r="K56" i="2"/>
  <c r="K51" i="2"/>
  <c r="K50" i="2"/>
  <c r="K49" i="2"/>
  <c r="K48" i="2"/>
  <c r="K47" i="2"/>
  <c r="J51" i="2"/>
  <c r="J50" i="2"/>
  <c r="J49" i="2"/>
  <c r="J48" i="2"/>
  <c r="J47" i="2"/>
  <c r="I51" i="2"/>
  <c r="I50" i="2"/>
  <c r="I49" i="2"/>
  <c r="I48" i="2"/>
  <c r="I47" i="2"/>
  <c r="I42" i="2"/>
  <c r="I40" i="2"/>
  <c r="K44" i="2"/>
  <c r="K43" i="2"/>
  <c r="K42" i="2"/>
  <c r="K41" i="2"/>
  <c r="K40"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J62" i="2"/>
  <c r="J63" i="2"/>
  <c r="J64" i="2"/>
  <c r="J65" i="2"/>
  <c r="J61" i="2"/>
  <c r="I62" i="2"/>
  <c r="I63" i="2"/>
  <c r="I64" i="2"/>
  <c r="I65" i="2"/>
  <c r="I61" i="2"/>
  <c r="J57" i="2"/>
  <c r="J58" i="2"/>
  <c r="J56" i="2"/>
  <c r="I57" i="2"/>
  <c r="I58" i="2"/>
  <c r="I56" i="2"/>
  <c r="J44" i="2"/>
  <c r="I44" i="2"/>
  <c r="J43" i="2"/>
  <c r="I43" i="2"/>
  <c r="J42" i="2"/>
  <c r="J41" i="2"/>
  <c r="I41" i="2"/>
  <c r="J40" i="2"/>
  <c r="I27" i="2"/>
  <c r="I25" i="2"/>
  <c r="I26" i="2"/>
  <c r="I24" i="2"/>
  <c r="F25" i="2"/>
  <c r="F26" i="2"/>
  <c r="F27" i="2"/>
  <c r="F24" i="2"/>
  <c r="C27" i="2"/>
  <c r="C26" i="2"/>
  <c r="C25" i="2"/>
  <c r="F75" i="2" l="1"/>
</calcChain>
</file>

<file path=xl/sharedStrings.xml><?xml version="1.0" encoding="utf-8"?>
<sst xmlns="http://schemas.openxmlformats.org/spreadsheetml/2006/main" count="1045" uniqueCount="443">
  <si>
    <t>DATA ANALYTICS WITH EXCEL</t>
  </si>
  <si>
    <t>Content</t>
  </si>
  <si>
    <t>Name Range, Functions and Formulas</t>
  </si>
  <si>
    <t>Formatting</t>
  </si>
  <si>
    <t>Reference</t>
  </si>
  <si>
    <t>VLOOKUP/INDEX AND MATCH</t>
  </si>
  <si>
    <t>Question 1</t>
  </si>
  <si>
    <r>
      <rPr>
        <sz val="10"/>
        <color theme="1"/>
        <rFont val="Arial"/>
      </rPr>
      <t xml:space="preserve">1. Your manager has given you a table of raw data to perform analysis on. You have been tasked to find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of the Sales data provided below. Using the Sum, </t>
    </r>
    <r>
      <rPr>
        <b/>
        <sz val="10"/>
        <color theme="1"/>
        <rFont val="Arial"/>
      </rPr>
      <t>Average,</t>
    </r>
    <r>
      <rPr>
        <sz val="10"/>
        <color theme="1"/>
        <rFont val="Arial"/>
      </rPr>
      <t xml:space="preserve"> </t>
    </r>
    <r>
      <rPr>
        <b/>
        <sz val="10"/>
        <color theme="1"/>
        <rFont val="Arial"/>
      </rPr>
      <t>count</t>
    </r>
    <r>
      <rPr>
        <sz val="10"/>
        <color theme="1"/>
        <rFont val="Arial"/>
      </rPr>
      <t xml:space="preserve"> and </t>
    </r>
    <r>
      <rPr>
        <b/>
        <sz val="10"/>
        <color theme="1"/>
        <rFont val="Arial"/>
      </rPr>
      <t>subtotal</t>
    </r>
    <r>
      <rPr>
        <sz val="10"/>
        <color theme="1"/>
        <rFont val="Arial"/>
      </rPr>
      <t xml:space="preserve"> formula's, fill in the empty fields below.
2. Make sure you use name range to perform your calculations</t>
    </r>
  </si>
  <si>
    <t>Dataset</t>
  </si>
  <si>
    <t>Month</t>
  </si>
  <si>
    <t>Team</t>
  </si>
  <si>
    <t>Sales</t>
  </si>
  <si>
    <t>Jan</t>
  </si>
  <si>
    <t>Team 3</t>
  </si>
  <si>
    <t>Team 1</t>
  </si>
  <si>
    <t>Team 2</t>
  </si>
  <si>
    <t>Feb</t>
  </si>
  <si>
    <t>Team 4</t>
  </si>
  <si>
    <t>Mar</t>
  </si>
  <si>
    <t>April</t>
  </si>
  <si>
    <t>Calculate Sum of Sales for each Team</t>
  </si>
  <si>
    <t>Calculate Sum of Sales for each Month</t>
  </si>
  <si>
    <r>
      <rPr>
        <sz val="10"/>
        <color theme="1"/>
        <rFont val="Arial"/>
      </rPr>
      <t xml:space="preserve">Using the Dataset above, calculate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for the Sales</t>
    </r>
  </si>
  <si>
    <t>SumIF(Team)</t>
  </si>
  <si>
    <t>SumIF(Month)</t>
  </si>
  <si>
    <t>Sum</t>
  </si>
  <si>
    <t>Average</t>
  </si>
  <si>
    <t>Count</t>
  </si>
  <si>
    <r>
      <rPr>
        <sz val="10"/>
        <color theme="1"/>
        <rFont val="Arial"/>
      </rPr>
      <t xml:space="preserve">Using the the SUBTOTAL Function, calculate the </t>
    </r>
    <r>
      <rPr>
        <b/>
        <sz val="10"/>
        <color theme="1"/>
        <rFont val="Arial"/>
      </rPr>
      <t>Sum,</t>
    </r>
    <r>
      <rPr>
        <sz val="10"/>
        <color theme="1"/>
        <rFont val="Arial"/>
      </rPr>
      <t xml:space="preserve"> </t>
    </r>
    <r>
      <rPr>
        <b/>
        <sz val="10"/>
        <color theme="1"/>
        <rFont val="Arial"/>
      </rPr>
      <t>Average</t>
    </r>
    <r>
      <rPr>
        <sz val="10"/>
        <color theme="1"/>
        <rFont val="Arial"/>
      </rPr>
      <t xml:space="preserve"> and </t>
    </r>
    <r>
      <rPr>
        <b/>
        <sz val="10"/>
        <color theme="1"/>
        <rFont val="Arial"/>
      </rPr>
      <t>Count</t>
    </r>
    <r>
      <rPr>
        <sz val="10"/>
        <color theme="1"/>
        <rFont val="Arial"/>
      </rPr>
      <t xml:space="preserve"> for the Sales</t>
    </r>
  </si>
  <si>
    <t>Question 2</t>
  </si>
  <si>
    <t>You have the report of training budget and actual training cost for 2018 to 2020. You are required to perform analysis as required below. 
Use Name Range
Format the Training Budget and Training Actual Cost data to and accounting figure with no decimal.</t>
  </si>
  <si>
    <t xml:space="preserve"> </t>
  </si>
  <si>
    <t>Department Name</t>
  </si>
  <si>
    <t>Year</t>
  </si>
  <si>
    <t>Training Budget</t>
  </si>
  <si>
    <t>Training Actual Cost</t>
  </si>
  <si>
    <t>Difference</t>
  </si>
  <si>
    <t>Sales and Marketing</t>
  </si>
  <si>
    <t>Information Technology</t>
  </si>
  <si>
    <t>Finance</t>
  </si>
  <si>
    <t>Risk Management</t>
  </si>
  <si>
    <t>Min</t>
  </si>
  <si>
    <t>Admin</t>
  </si>
  <si>
    <t>Max</t>
  </si>
  <si>
    <t>Using Subtotal</t>
  </si>
  <si>
    <t>SumIF</t>
  </si>
  <si>
    <t>Training Budget (&lt;1,500,000)</t>
  </si>
  <si>
    <t>Training Actual Cost (&gt;1,500,000)</t>
  </si>
  <si>
    <t>Instructions</t>
  </si>
  <si>
    <t>Details of States in Nigeria</t>
  </si>
  <si>
    <t>1. Kindly format the data containing details of states in Nigeria
2. Copy the data and paste to another range. Format the new data you've pasted. In that way, you can easily have the originial data and the new data which you will format.
3. Insert an image. E.g, Nigeria map, Nigeria flag or any other image you think is suitable
4. Use Freeze Panes to lock your headers/titles</t>
  </si>
  <si>
    <t>State</t>
  </si>
  <si>
    <t>Capital</t>
  </si>
  <si>
    <t>Governor</t>
  </si>
  <si>
    <t>Motto</t>
  </si>
  <si>
    <t>Population</t>
  </si>
  <si>
    <t>Abia</t>
  </si>
  <si>
    <t>Umuahia</t>
  </si>
  <si>
    <t>Victor Okezie Ikpeazu</t>
  </si>
  <si>
    <t>God's Own State</t>
  </si>
  <si>
    <t>Adamawa</t>
  </si>
  <si>
    <t>Yola</t>
  </si>
  <si>
    <t>Umaru Fintiri</t>
  </si>
  <si>
    <t>Highest Peak of the Nation</t>
  </si>
  <si>
    <t>Akwa Ibom</t>
  </si>
  <si>
    <t>Uyo</t>
  </si>
  <si>
    <t>Emmanuel Udom</t>
  </si>
  <si>
    <t>Land of Promise</t>
  </si>
  <si>
    <t>Anambra</t>
  </si>
  <si>
    <t>Akwa</t>
  </si>
  <si>
    <t>Willie Obiano</t>
  </si>
  <si>
    <t>Light of the Nation</t>
  </si>
  <si>
    <t>Bauchi</t>
  </si>
  <si>
    <t>Bala Mohammed</t>
  </si>
  <si>
    <t>Pearl of Tourism</t>
  </si>
  <si>
    <t>Bayelsa</t>
  </si>
  <si>
    <t>Yenegoa</t>
  </si>
  <si>
    <t>Duoye Diri</t>
  </si>
  <si>
    <t>Glory of all Lands</t>
  </si>
  <si>
    <t>Benue</t>
  </si>
  <si>
    <t>Makurdi</t>
  </si>
  <si>
    <t>Samuel Ortom</t>
  </si>
  <si>
    <t>Food Basket of the Nation</t>
  </si>
  <si>
    <t>Borno</t>
  </si>
  <si>
    <t>Maiduguri</t>
  </si>
  <si>
    <t>BabaGana Umara</t>
  </si>
  <si>
    <t>Home of Peace</t>
  </si>
  <si>
    <t>Cross River</t>
  </si>
  <si>
    <t>Calabar</t>
  </si>
  <si>
    <t>Ben Ayade</t>
  </si>
  <si>
    <t>The People's Paradise</t>
  </si>
  <si>
    <t>Delta</t>
  </si>
  <si>
    <t>Asaba</t>
  </si>
  <si>
    <t>Ifeanyi Okowa</t>
  </si>
  <si>
    <t>The Big Heart of the Nation</t>
  </si>
  <si>
    <t>Ebonyi</t>
  </si>
  <si>
    <t>Abakaliki</t>
  </si>
  <si>
    <t>Dave Umahi</t>
  </si>
  <si>
    <t>Salt of the Nation</t>
  </si>
  <si>
    <t>Edo</t>
  </si>
  <si>
    <t>Benin City</t>
  </si>
  <si>
    <t>Godwin Obaseki</t>
  </si>
  <si>
    <t>Heartbeat of The Nation</t>
  </si>
  <si>
    <t>Ekiti</t>
  </si>
  <si>
    <t>Ado-Ekiti</t>
  </si>
  <si>
    <t>Kayode Fayemi</t>
  </si>
  <si>
    <t>Land of Honour and Integrity</t>
  </si>
  <si>
    <t>Enugu</t>
  </si>
  <si>
    <t>Ifeanyi Ugwuanyi</t>
  </si>
  <si>
    <t>Coal City State</t>
  </si>
  <si>
    <t>Gombe</t>
  </si>
  <si>
    <t>Muhammad Inuwa Yahaya</t>
  </si>
  <si>
    <t>Jewel of the Savannah</t>
  </si>
  <si>
    <t>Imo</t>
  </si>
  <si>
    <t>Owerri</t>
  </si>
  <si>
    <t>Hope Uzodinma</t>
  </si>
  <si>
    <t xml:space="preserve">Eastern Heartland </t>
  </si>
  <si>
    <t>Jigawa</t>
  </si>
  <si>
    <t>Dutse</t>
  </si>
  <si>
    <t>Badaru Abubakar</t>
  </si>
  <si>
    <t>The New World</t>
  </si>
  <si>
    <t>Kaduna</t>
  </si>
  <si>
    <t>Nasir El-Rufai</t>
  </si>
  <si>
    <t>Centre of Learning</t>
  </si>
  <si>
    <t>Kano</t>
  </si>
  <si>
    <t>Umar Ganguje</t>
  </si>
  <si>
    <t>Centre of Commerce</t>
  </si>
  <si>
    <t>Katsina</t>
  </si>
  <si>
    <t>Aminu Masari</t>
  </si>
  <si>
    <t>Home of Hospitality</t>
  </si>
  <si>
    <t>Kebbi</t>
  </si>
  <si>
    <t>Birnin Kebbi</t>
  </si>
  <si>
    <t>Atiku Bagudu</t>
  </si>
  <si>
    <t>Land of Equity</t>
  </si>
  <si>
    <t>Kogi</t>
  </si>
  <si>
    <t>Lokoja</t>
  </si>
  <si>
    <t>Yahaya Bello</t>
  </si>
  <si>
    <t>The Confluence State</t>
  </si>
  <si>
    <t>Kwara</t>
  </si>
  <si>
    <t>Ilorin</t>
  </si>
  <si>
    <t>AbdulRahman AbdulRasaq</t>
  </si>
  <si>
    <t>State of Harmony</t>
  </si>
  <si>
    <t>Lagos</t>
  </si>
  <si>
    <t>Ikeja</t>
  </si>
  <si>
    <t>Babajide Sanwo-Olu</t>
  </si>
  <si>
    <t>Centre of Excellence</t>
  </si>
  <si>
    <t>Nasarawa</t>
  </si>
  <si>
    <t>Lafia</t>
  </si>
  <si>
    <t>Abdullahi Sule</t>
  </si>
  <si>
    <t>Home of Solid Minerals</t>
  </si>
  <si>
    <t>Niger</t>
  </si>
  <si>
    <t>Minna</t>
  </si>
  <si>
    <t>Abubakar Sani-Lulu Bello</t>
  </si>
  <si>
    <t>The Power State</t>
  </si>
  <si>
    <t>Ogun</t>
  </si>
  <si>
    <t>Abeokuta</t>
  </si>
  <si>
    <t>Dapo Abiodun</t>
  </si>
  <si>
    <t>Gateway State</t>
  </si>
  <si>
    <t>Ondo</t>
  </si>
  <si>
    <t>Akure</t>
  </si>
  <si>
    <t>Oluwarotimi Akeredolu</t>
  </si>
  <si>
    <t>Sunshine State</t>
  </si>
  <si>
    <t>Osun</t>
  </si>
  <si>
    <t>Osogbo</t>
  </si>
  <si>
    <t>Gboyega Oyetola</t>
  </si>
  <si>
    <t xml:space="preserve">Land of Virtue </t>
  </si>
  <si>
    <t>Oyo</t>
  </si>
  <si>
    <t>Ibadan</t>
  </si>
  <si>
    <t>Seyi Makinde</t>
  </si>
  <si>
    <t>Pace Setter State</t>
  </si>
  <si>
    <t>Plateau</t>
  </si>
  <si>
    <t>Jos</t>
  </si>
  <si>
    <t>Simon Lalong</t>
  </si>
  <si>
    <t>Home of Peace and Tourism</t>
  </si>
  <si>
    <t>Rivers</t>
  </si>
  <si>
    <t>Port Harcourt</t>
  </si>
  <si>
    <t>Nyesom Wike</t>
  </si>
  <si>
    <t>Treasure Base of the Nation</t>
  </si>
  <si>
    <t>Sokoto</t>
  </si>
  <si>
    <t>Aminu Waziri Tambuwal</t>
  </si>
  <si>
    <t>Seat of the Caliphate</t>
  </si>
  <si>
    <t>Taraba</t>
  </si>
  <si>
    <t>Jalingo</t>
  </si>
  <si>
    <t>Darius Ishaku</t>
  </si>
  <si>
    <t>Nature's Gift to the Nation</t>
  </si>
  <si>
    <t>Yobe</t>
  </si>
  <si>
    <t>Damaturu</t>
  </si>
  <si>
    <t>Mai Mala Buni</t>
  </si>
  <si>
    <t>Pride of the Sahel</t>
  </si>
  <si>
    <t>Zamfara</t>
  </si>
  <si>
    <t>Gusau</t>
  </si>
  <si>
    <t>Bello Matawalle</t>
  </si>
  <si>
    <t>Farming is Our Pride</t>
  </si>
  <si>
    <t xml:space="preserve">FCT </t>
  </si>
  <si>
    <t>Abuja</t>
  </si>
  <si>
    <t>Mohammed Musa Bello</t>
  </si>
  <si>
    <t>Centre of Unity</t>
  </si>
  <si>
    <t xml:space="preserve">Complete the multiplication table below using mixed Reference </t>
  </si>
  <si>
    <t>Distributor ID</t>
  </si>
  <si>
    <t>Distributor Name</t>
  </si>
  <si>
    <t>Country</t>
  </si>
  <si>
    <t>Product Code</t>
  </si>
  <si>
    <t>Product</t>
  </si>
  <si>
    <t>Sales Channel</t>
  </si>
  <si>
    <t>Date Sold</t>
  </si>
  <si>
    <t>Month Sold</t>
  </si>
  <si>
    <t>Quantity</t>
  </si>
  <si>
    <t>Unit Price</t>
  </si>
  <si>
    <t>Revenue</t>
  </si>
  <si>
    <t>Column1</t>
  </si>
  <si>
    <t>Column2</t>
  </si>
  <si>
    <t>Column3</t>
  </si>
  <si>
    <t>Column4</t>
  </si>
  <si>
    <t>Column5</t>
  </si>
  <si>
    <t>Column6</t>
  </si>
  <si>
    <t>Column7</t>
  </si>
  <si>
    <t>Column8</t>
  </si>
  <si>
    <t>Column9</t>
  </si>
  <si>
    <t>Column10</t>
  </si>
  <si>
    <t>Column11</t>
  </si>
  <si>
    <t>Devin Abbott</t>
  </si>
  <si>
    <t>France</t>
  </si>
  <si>
    <t>SUPA105</t>
  </si>
  <si>
    <t>Super Soft Bulk - 2 Litres</t>
  </si>
  <si>
    <t>Online</t>
  </si>
  <si>
    <t>Aphrodite Brennan</t>
  </si>
  <si>
    <t>Malawi</t>
  </si>
  <si>
    <t>Direct</t>
  </si>
  <si>
    <t>Guinevere Key</t>
  </si>
  <si>
    <t>Colombia</t>
  </si>
  <si>
    <t>Retail</t>
  </si>
  <si>
    <t>Zahir Fields</t>
  </si>
  <si>
    <t>Canada</t>
  </si>
  <si>
    <t>Deacon Craig</t>
  </si>
  <si>
    <t>Mongolia</t>
  </si>
  <si>
    <t>Brynne Mcgowan</t>
  </si>
  <si>
    <t>Finland</t>
  </si>
  <si>
    <t>Lani Sweet</t>
  </si>
  <si>
    <t>Vanuatu</t>
  </si>
  <si>
    <t>Noble Warner</t>
  </si>
  <si>
    <t>Burkina Faso</t>
  </si>
  <si>
    <t>SUPA104</t>
  </si>
  <si>
    <t>Super Soft - 1 Litre</t>
  </si>
  <si>
    <t>Levi Douglas</t>
  </si>
  <si>
    <t>Tanzania, United Republic of</t>
  </si>
  <si>
    <t>DETA800</t>
  </si>
  <si>
    <t>Detafast Stain Remover - 800ml</t>
  </si>
  <si>
    <t>Jelani Odonnell</t>
  </si>
  <si>
    <t>Albania</t>
  </si>
  <si>
    <t>Jared Sandoval</t>
  </si>
  <si>
    <t>Botswana</t>
  </si>
  <si>
    <t>Hiroko Acevedo</t>
  </si>
  <si>
    <t>Burundi</t>
  </si>
  <si>
    <t>Rhona Clarke</t>
  </si>
  <si>
    <t>Zimbabwe</t>
  </si>
  <si>
    <t>Tad Mack</t>
  </si>
  <si>
    <t>Iceland</t>
  </si>
  <si>
    <t>Rama Goodwin</t>
  </si>
  <si>
    <t>Tunisia</t>
  </si>
  <si>
    <t>Keaton Wolfe</t>
  </si>
  <si>
    <t>French Southern Territories</t>
  </si>
  <si>
    <t>Samuel Ayala</t>
  </si>
  <si>
    <t>Brazil</t>
  </si>
  <si>
    <t>Doris Williams</t>
  </si>
  <si>
    <t>Trinidad and Tobago</t>
  </si>
  <si>
    <t>SUPA103</t>
  </si>
  <si>
    <t>Super Soft - 500ml</t>
  </si>
  <si>
    <t>Ingrid Bush</t>
  </si>
  <si>
    <t>Montserrat</t>
  </si>
  <si>
    <t>Nell Maddox</t>
  </si>
  <si>
    <t>Azerbaijan</t>
  </si>
  <si>
    <t>Benedict Byrd</t>
  </si>
  <si>
    <t>Mauritania</t>
  </si>
  <si>
    <t>Ethan Gregory</t>
  </si>
  <si>
    <t>Tuvalu</t>
  </si>
  <si>
    <t>Ursula Mcconnell</t>
  </si>
  <si>
    <t>Hungary</t>
  </si>
  <si>
    <t>Fletcher Jimenez</t>
  </si>
  <si>
    <t>Chad</t>
  </si>
  <si>
    <t>DETA200</t>
  </si>
  <si>
    <t>Detafast Stain Remover - 200ml</t>
  </si>
  <si>
    <t>Isadora Mcclure</t>
  </si>
  <si>
    <t>Indonesia</t>
  </si>
  <si>
    <t>DETA100</t>
  </si>
  <si>
    <t>Detafast Stain Remover - 100ml</t>
  </si>
  <si>
    <t>Liberty Mcbride</t>
  </si>
  <si>
    <t>Fiji</t>
  </si>
  <si>
    <t>Noble Gilbert</t>
  </si>
  <si>
    <t>United States</t>
  </si>
  <si>
    <t>Maxine Gentry</t>
  </si>
  <si>
    <t>Panama</t>
  </si>
  <si>
    <t>Melinda Cobb</t>
  </si>
  <si>
    <t>Uruguay</t>
  </si>
  <si>
    <t>PURA250</t>
  </si>
  <si>
    <t>Pure Soft Detergent - 250ml</t>
  </si>
  <si>
    <t>Yael Carter</t>
  </si>
  <si>
    <t>Malaysia</t>
  </si>
  <si>
    <t>Kay Buckley</t>
  </si>
  <si>
    <t>Malta</t>
  </si>
  <si>
    <t>Athena Fitzpatrick</t>
  </si>
  <si>
    <t>Reunion</t>
  </si>
  <si>
    <t>Joy Vazquez</t>
  </si>
  <si>
    <t>Korea</t>
  </si>
  <si>
    <t>Amery Frazier</t>
  </si>
  <si>
    <t>Georgia</t>
  </si>
  <si>
    <t>Buckminster Hopkins</t>
  </si>
  <si>
    <t>Sierra Leone</t>
  </si>
  <si>
    <t>PURA200</t>
  </si>
  <si>
    <t>Pure Soft Detergent - 200ml</t>
  </si>
  <si>
    <t>George Best</t>
  </si>
  <si>
    <t>Western Sahara</t>
  </si>
  <si>
    <t>Maxwell Parker</t>
  </si>
  <si>
    <t>Falkland Islands (Malvinas)</t>
  </si>
  <si>
    <t>Lance Little</t>
  </si>
  <si>
    <t>Croatia</t>
  </si>
  <si>
    <t>Gwendolyn Walton</t>
  </si>
  <si>
    <t>Cuba</t>
  </si>
  <si>
    <t>SUPA102</t>
  </si>
  <si>
    <t>Super Soft - 250ml</t>
  </si>
  <si>
    <t>Isaac Wolf</t>
  </si>
  <si>
    <t>PURA500</t>
  </si>
  <si>
    <t>Pure Soft Detergent - 500ml</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</si>
  <si>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</si>
  <si>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</si>
  <si>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</si>
  <si>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</si>
  <si>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</si>
  <si>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</si>
  <si>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</si>
  <si>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</si>
  <si>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</si>
  <si>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</si>
  <si>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</si>
  <si>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</si>
  <si>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</si>
  <si>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</si>
  <si>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</si>
  <si>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</si>
  <si>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</si>
  <si>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</si>
  <si>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</si>
  <si>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</si>
  <si>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</si>
  <si>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</si>
  <si>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</si>
  <si>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Gwendolyn Mccarty</t>
  </si>
  <si>
    <t>Madagascar</t>
  </si>
  <si>
    <t>Bell Prince</t>
  </si>
  <si>
    <t>Guinea</t>
  </si>
  <si>
    <t>Katelyn Joseph</t>
  </si>
  <si>
    <t>Slovenia</t>
  </si>
  <si>
    <t>Robert Juarez</t>
  </si>
  <si>
    <t>Svalbard and Jan Mayen</t>
  </si>
  <si>
    <t>Jerry Alvarado</t>
  </si>
  <si>
    <t>Korea, Republic of</t>
  </si>
  <si>
    <t>PURA100</t>
  </si>
  <si>
    <t>Pure Soft Detergent - 100ml</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</si>
  <si>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</si>
  <si>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</si>
  <si>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</si>
  <si>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</si>
  <si>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</si>
  <si>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</si>
  <si>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</si>
  <si>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</si>
  <si>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</si>
  <si>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</si>
  <si>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</si>
  <si>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</si>
  <si>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</si>
  <si>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</si>
  <si>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</si>
  <si>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</si>
  <si>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</si>
  <si>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</si>
  <si>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</si>
  <si>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</si>
  <si>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</si>
  <si>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</si>
  <si>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</si>
  <si>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</si>
  <si>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</si>
  <si>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</si>
  <si>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</si>
  <si>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</si>
  <si>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</si>
  <si>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</si>
  <si>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</si>
  <si>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</si>
  <si>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</si>
  <si>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</si>
  <si>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</si>
  <si>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</si>
  <si>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</si>
  <si>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</si>
  <si>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</si>
  <si>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</si>
  <si>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</si>
  <si>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</si>
  <si>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</si>
  <si>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</si>
  <si>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</si>
  <si>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</si>
  <si>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</si>
  <si>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</si>
  <si>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</si>
  <si>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</si>
  <si>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</si>
  <si>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</si>
  <si>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</si>
  <si>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</si>
  <si>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</si>
  <si>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</si>
  <si>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</si>
  <si>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</si>
  <si>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</si>
  <si>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</si>
  <si>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</si>
  <si>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</si>
  <si>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</si>
  <si>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</si>
  <si>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</si>
  <si>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</si>
  <si>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</si>
  <si>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</si>
  <si>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</si>
  <si>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</si>
  <si>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</si>
  <si>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</si>
  <si>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</si>
  <si>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</si>
  <si>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</si>
  <si>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</si>
  <si>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</si>
  <si>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</si>
  <si>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</si>
  <si>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</si>
  <si>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</si>
  <si>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r>
      <rPr>
        <sz val="11"/>
        <color theme="1"/>
        <rFont val="Calibri"/>
      </rPr>
      <t xml:space="preserve">1. Use the data on the DataSet sheet to answer the questions.
2. Convert the data on the dataset sheet to a </t>
    </r>
    <r>
      <rPr>
        <b/>
        <sz val="11"/>
        <color theme="1"/>
        <rFont val="Calibri"/>
      </rPr>
      <t xml:space="preserve">table </t>
    </r>
    <r>
      <rPr>
        <sz val="11"/>
        <color theme="1"/>
        <rFont val="Calibri"/>
      </rPr>
      <t>before you answer the VlookUp questions</t>
    </r>
  </si>
  <si>
    <t>Using Vlookup</t>
  </si>
  <si>
    <t>Using Index/Match</t>
  </si>
  <si>
    <t>Name</t>
  </si>
  <si>
    <t>DETAILS OF STATES IN NIGERIA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</si>
</sst>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_);_(* \(#,##0\);_(* &quot;-&quot;_);@_)"/>
    <numFmt numFmtId="165" formatCode="_-&quot;₦&quot;* #,##0_-;\-&quot;₦&quot;* #,##0_-;_-&quot;₦&quot;* &quot;-&quot;??_-;_-@"/>
    <numFmt numFmtId="166" formatCode="_(* #,##0_);_(* \(#,##0\);_(* &quot;-&quot;??_);_(@_)"/>
    <numFmt numFmtId="167" formatCode="&quot;$&quot;#,##0"/>
    <numFmt numFmtId="168" formatCode="_(&quot;$&quot;* #,##0_);_(&quot;$&quot;* \(#,##0\);_(&quot;$&quot;* &quot;-&quot;??_);_(@_)"/>
  </numFmts>
  <fonts count="24">
    <font>
      <sz val="11"/>
      <color theme="1"/>
      <name val="Calibri"/>
      <scheme val="minor"/>
    </font>
    <font>
      <sz val="11"/>
      <color theme="1"/>
      <name val="Calibri"/>
      <family val="2"/>
      <scheme val="minor"/>
    </font>
    <font>
      <b/>
      <sz val="18"/>
      <color theme="1"/>
      <name val="Calibri"/>
    </font>
    <font>
      <sz val="16"/>
      <color theme="1"/>
      <name val="Calibri"/>
    </font>
    <font>
      <sz val="14"/>
      <color theme="1"/>
      <name val="Calibri"/>
    </font>
    <font>
      <sz val="11"/>
      <name val="Calibri"/>
    </font>
    <font>
      <u/>
      <sz val="11"/>
      <color theme="10"/>
      <name val="Calibri"/>
    </font>
    <font>
      <sz val="11"/>
      <color theme="1"/>
      <name val="Calibri"/>
    </font>
    <font>
      <b/>
      <sz val="11"/>
      <color rgb="FFC00000"/>
      <name val="Calibri"/>
    </font>
    <font>
      <sz val="10"/>
      <color theme="1"/>
      <name val="Arial"/>
    </font>
    <font>
      <sz val="11"/>
      <color theme="1"/>
      <name val="Calibri"/>
      <scheme val="minor"/>
    </font>
    <font>
      <b/>
      <sz val="10"/>
      <color rgb="FFFFFFFF"/>
      <name val="Arial"/>
    </font>
    <font>
      <sz val="10"/>
      <color rgb="FF602320"/>
      <name val="Arial"/>
    </font>
    <font>
      <b/>
      <sz val="10"/>
      <color rgb="FFC00000"/>
      <name val="Arial"/>
    </font>
    <font>
      <b/>
      <sz val="10"/>
      <color theme="1"/>
      <name val="Arial"/>
    </font>
    <font>
      <b/>
      <sz val="11"/>
      <color theme="1"/>
      <name val="Calibri"/>
    </font>
    <font>
      <b/>
      <sz val="11"/>
      <color theme="0"/>
      <name val="Calibri"/>
    </font>
    <font>
      <sz val="11"/>
      <color theme="0"/>
      <name val="Calibri"/>
    </font>
    <font>
      <sz val="11"/>
      <color rgb="FF1E4E79"/>
      <name val="Calibri"/>
    </font>
    <font>
      <b/>
      <sz val="14"/>
      <color theme="1"/>
      <name val="Calibri"/>
    </font>
    <font>
      <b/>
      <sz val="11"/>
      <color rgb="FFFF0000"/>
      <name val="Calibri"/>
    </font>
    <font>
      <sz val="11"/>
      <color rgb="FFF2F2F2"/>
      <name val="Calibri"/>
    </font>
    <font>
      <sz val="11"/>
      <color rgb="FF2F5496"/>
      <name val="Calibri"/>
    </font>
    <font>
      <b/>
      <sz val="16"/>
      <color theme="1"/>
      <name val="Calibri"/>
      <family val="2"/>
      <scheme val="minor"/>
    </font>
  </fonts>
  <fills count="19">
    <fill>
      <patternFill patternType="none"/>
    </fill>
    <fill>
      <patternFill patternType="gray125"/>
    </fill>
    <fill>
      <patternFill patternType="solid">
        <fgColor rgb="FFE7E6E6"/>
        <bgColor rgb="FFE7E6E6"/>
      </patternFill>
    </fill>
    <fill>
      <patternFill patternType="solid">
        <fgColor theme="9"/>
        <bgColor theme="9"/>
      </patternFill>
    </fill>
    <fill>
      <patternFill patternType="solid">
        <fgColor rgb="FFFEF2CB"/>
        <bgColor rgb="FFFEF2CB"/>
      </patternFill>
    </fill>
    <fill>
      <patternFill patternType="solid">
        <fgColor rgb="FFFBE4D5"/>
        <bgColor rgb="FFFBE4D5"/>
      </patternFill>
    </fill>
    <fill>
      <patternFill patternType="solid">
        <fgColor rgb="FFA8D08D"/>
        <bgColor rgb="FFA8D08D"/>
      </patternFill>
    </fill>
    <fill>
      <patternFill patternType="solid">
        <fgColor rgb="FFBF9000"/>
        <bgColor rgb="FFBF9000"/>
      </patternFill>
    </fill>
    <fill>
      <patternFill patternType="solid">
        <fgColor rgb="FF833C0B"/>
        <bgColor rgb="FF833C0B"/>
      </patternFill>
    </fill>
    <fill>
      <patternFill patternType="solid">
        <fgColor rgb="FF002060"/>
        <bgColor rgb="FF002060"/>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D6DCE4"/>
        <bgColor rgb="FFD6DCE4"/>
      </patternFill>
    </fill>
    <fill>
      <patternFill patternType="solid">
        <fgColor rgb="FFD0CECE"/>
        <bgColor rgb="FFD0CECE"/>
      </patternFill>
    </fill>
    <fill>
      <patternFill patternType="solid">
        <fgColor theme="0"/>
        <bgColor theme="0"/>
      </patternFill>
    </fill>
    <fill>
      <patternFill patternType="solid">
        <fgColor rgb="FFFFD965"/>
        <bgColor rgb="FFFFD965"/>
      </patternFill>
    </fill>
    <fill>
      <patternFill patternType="solid">
        <fgColor rgb="FFECECEC"/>
        <bgColor rgb="FFECECEC"/>
      </patternFill>
    </fill>
    <fill>
      <patternFill patternType="solid">
        <fgColor rgb="FFF7CAAC"/>
        <bgColor rgb="FFF7CAAC"/>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60232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602320"/>
      </top>
      <bottom style="thin">
        <color rgb="FF602320"/>
      </bottom>
      <diagonal/>
    </border>
    <border>
      <left style="thin">
        <color theme="0"/>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7" fillId="0" borderId="4" xfId="0" applyFont="1" applyBorder="1"/>
    <xf numFmtId="0" fontId="7" fillId="0" borderId="5" xfId="0" applyFont="1" applyBorder="1"/>
    <xf numFmtId="0" fontId="7" fillId="0" borderId="6" xfId="0" applyFont="1" applyBorder="1"/>
    <xf numFmtId="0" fontId="7" fillId="0" borderId="8" xfId="0" applyFont="1" applyBorder="1"/>
    <xf numFmtId="0" fontId="8" fillId="2" borderId="9" xfId="0" applyFont="1" applyFill="1" applyBorder="1"/>
    <xf numFmtId="0" fontId="9" fillId="0" borderId="0" xfId="0" applyFont="1" applyAlignment="1">
      <alignment vertical="top" wrapText="1"/>
    </xf>
    <xf numFmtId="0" fontId="9" fillId="0" borderId="0" xfId="0" applyFont="1" applyAlignment="1">
      <alignment horizontal="left" vertical="top" wrapText="1"/>
    </xf>
    <xf numFmtId="0" fontId="10" fillId="0" borderId="0" xfId="0" applyFont="1"/>
    <xf numFmtId="164" fontId="11" fillId="3" borderId="10" xfId="0" applyNumberFormat="1" applyFont="1" applyFill="1" applyBorder="1" applyAlignment="1">
      <alignment horizontal="left" vertical="top"/>
    </xf>
    <xf numFmtId="0" fontId="7" fillId="0" borderId="11" xfId="0" applyFont="1" applyBorder="1"/>
    <xf numFmtId="165" fontId="7" fillId="0" borderId="11" xfId="0" applyNumberFormat="1" applyFont="1" applyBorder="1"/>
    <xf numFmtId="0" fontId="7" fillId="0" borderId="0" xfId="0" applyFont="1"/>
    <xf numFmtId="0" fontId="9" fillId="0" borderId="0" xfId="0" applyFont="1" applyAlignment="1">
      <alignment wrapText="1"/>
    </xf>
    <xf numFmtId="0" fontId="7" fillId="4" borderId="11" xfId="0" applyFont="1" applyFill="1" applyBorder="1"/>
    <xf numFmtId="0" fontId="7" fillId="5" borderId="11" xfId="0" applyFont="1" applyFill="1" applyBorder="1"/>
    <xf numFmtId="0" fontId="9" fillId="0" borderId="0" xfId="0" applyFont="1"/>
    <xf numFmtId="164" fontId="11" fillId="3" borderId="11" xfId="0" applyNumberFormat="1" applyFont="1" applyFill="1" applyBorder="1" applyAlignment="1">
      <alignment horizontal="left" vertical="center"/>
    </xf>
    <xf numFmtId="1" fontId="12" fillId="6" borderId="14" xfId="0" applyNumberFormat="1" applyFont="1" applyFill="1" applyBorder="1" applyAlignment="1">
      <alignment horizontal="right" vertical="center"/>
    </xf>
    <xf numFmtId="164" fontId="11" fillId="0" borderId="0" xfId="0" applyNumberFormat="1" applyFont="1" applyAlignment="1">
      <alignment horizontal="left" vertical="center"/>
    </xf>
    <xf numFmtId="1" fontId="12" fillId="0" borderId="0" xfId="0" applyNumberFormat="1" applyFont="1" applyAlignment="1">
      <alignment horizontal="right" vertical="center"/>
    </xf>
    <xf numFmtId="164" fontId="13" fillId="2" borderId="9" xfId="0" applyNumberFormat="1" applyFont="1" applyFill="1" applyBorder="1" applyAlignment="1">
      <alignment horizontal="left" vertical="center"/>
    </xf>
    <xf numFmtId="1" fontId="9" fillId="0" borderId="0" xfId="0" applyNumberFormat="1" applyFont="1" applyAlignment="1">
      <alignment horizontal="right" vertical="center"/>
    </xf>
    <xf numFmtId="164" fontId="14" fillId="0" borderId="0" xfId="0" applyNumberFormat="1" applyFont="1" applyAlignment="1">
      <alignment horizontal="left" vertical="center"/>
    </xf>
    <xf numFmtId="0" fontId="7" fillId="7" borderId="11" xfId="0" applyFont="1" applyFill="1" applyBorder="1"/>
    <xf numFmtId="0" fontId="7" fillId="7" borderId="11" xfId="0" applyFont="1" applyFill="1" applyBorder="1" applyAlignment="1">
      <alignment horizontal="center"/>
    </xf>
    <xf numFmtId="0" fontId="15" fillId="5" borderId="11" xfId="0" applyFont="1" applyFill="1" applyBorder="1"/>
    <xf numFmtId="166" fontId="7" fillId="0" borderId="11" xfId="0" applyNumberFormat="1" applyFont="1" applyBorder="1"/>
    <xf numFmtId="0" fontId="16" fillId="8" borderId="11" xfId="0" applyFont="1" applyFill="1" applyBorder="1"/>
    <xf numFmtId="166" fontId="7" fillId="0" borderId="11" xfId="0" applyNumberFormat="1" applyFont="1" applyBorder="1" applyAlignment="1">
      <alignment horizontal="center"/>
    </xf>
    <xf numFmtId="0" fontId="17" fillId="9" borderId="11" xfId="0" applyFont="1" applyFill="1" applyBorder="1"/>
    <xf numFmtId="0" fontId="15" fillId="10" borderId="11" xfId="0" applyFont="1" applyFill="1" applyBorder="1"/>
    <xf numFmtId="0" fontId="7" fillId="0" borderId="15" xfId="0" applyFont="1" applyBorder="1"/>
    <xf numFmtId="0" fontId="16" fillId="9" borderId="11" xfId="0" applyFont="1" applyFill="1" applyBorder="1"/>
    <xf numFmtId="0" fontId="18" fillId="11" borderId="11" xfId="0" applyFont="1" applyFill="1" applyBorder="1"/>
    <xf numFmtId="0" fontId="7" fillId="12" borderId="11" xfId="0" applyFont="1" applyFill="1" applyBorder="1"/>
    <xf numFmtId="0" fontId="7" fillId="13" borderId="16" xfId="0" applyFont="1" applyFill="1" applyBorder="1"/>
    <xf numFmtId="166" fontId="7" fillId="0" borderId="0" xfId="0" applyNumberFormat="1" applyFont="1"/>
    <xf numFmtId="0" fontId="18" fillId="0" borderId="11" xfId="0" applyFont="1" applyBorder="1"/>
    <xf numFmtId="0" fontId="18" fillId="6" borderId="11" xfId="0" applyFont="1" applyFill="1" applyBorder="1"/>
    <xf numFmtId="0" fontId="18" fillId="14" borderId="11" xfId="0" applyFont="1" applyFill="1" applyBorder="1"/>
    <xf numFmtId="0" fontId="7" fillId="15" borderId="16" xfId="0" applyFont="1" applyFill="1" applyBorder="1"/>
    <xf numFmtId="0" fontId="20" fillId="2" borderId="9" xfId="0" applyFont="1" applyFill="1" applyBorder="1"/>
    <xf numFmtId="0" fontId="7" fillId="0" borderId="0" xfId="0" applyFont="1" applyAlignment="1">
      <alignment horizontal="left" vertical="top" wrapText="1"/>
    </xf>
    <xf numFmtId="0" fontId="15" fillId="0" borderId="0" xfId="0" applyFont="1"/>
    <xf numFmtId="0" fontId="7" fillId="16" borderId="11" xfId="0" applyFont="1" applyFill="1" applyBorder="1"/>
    <xf numFmtId="0" fontId="7" fillId="17" borderId="11" xfId="0" applyFont="1" applyFill="1" applyBorder="1"/>
    <xf numFmtId="0" fontId="21" fillId="9" borderId="11" xfId="0" applyFont="1" applyFill="1" applyBorder="1"/>
    <xf numFmtId="0" fontId="7" fillId="0" borderId="11" xfId="0" applyFont="1" applyBorder="1" applyAlignment="1">
      <alignment horizontal="left"/>
    </xf>
    <xf numFmtId="0" fontId="22" fillId="18" borderId="11" xfId="0" applyFont="1" applyFill="1" applyBorder="1"/>
    <xf numFmtId="0" fontId="0" fillId="10" borderId="0" xfId="0" applyFill="1"/>
    <xf numFmtId="0" fontId="1" fillId="0" borderId="0" xfId="0" applyFont="1"/>
    <xf numFmtId="0" fontId="1" fillId="0" borderId="20" xfId="0" applyFont="1" applyBorder="1" applyAlignment="1">
      <alignment horizontal="center"/>
    </xf>
    <xf numFmtId="0" fontId="10" fillId="0" borderId="20" xfId="0" applyFont="1" applyBorder="1" applyAlignment="1">
      <alignment horizontal="center"/>
    </xf>
    <xf numFmtId="167" fontId="7" fillId="7" borderId="11" xfId="0" applyNumberFormat="1" applyFont="1" applyFill="1" applyBorder="1" applyAlignment="1">
      <alignment horizontal="center"/>
    </xf>
    <xf numFmtId="166" fontId="7" fillId="0" borderId="11" xfId="0" applyNumberFormat="1" applyFont="1" applyBorder="1" applyAlignment="1">
      <alignment horizontal="center" vertical="center"/>
    </xf>
    <xf numFmtId="168" fontId="7" fillId="0" borderId="11" xfId="0" applyNumberFormat="1" applyFont="1" applyBorder="1" applyAlignment="1">
      <alignment horizontal="center"/>
    </xf>
    <xf numFmtId="168" fontId="7" fillId="0" borderId="11" xfId="0" applyNumberFormat="1" applyFont="1" applyBorder="1"/>
    <xf numFmtId="0" fontId="7" fillId="0" borderId="11" xfId="0" applyNumberFormat="1" applyFont="1" applyBorder="1"/>
    <xf numFmtId="0" fontId="6" fillId="0" borderId="0" xfId="0" applyFont="1" applyAlignment="1">
      <alignment horizontal="center"/>
    </xf>
    <xf numFmtId="0" fontId="0" fillId="0" borderId="0" xfId="0" applyAlignment="1"/>
    <xf numFmtId="0" fontId="6" fillId="0" borderId="7" xfId="0" applyFont="1" applyBorder="1" applyAlignment="1">
      <alignment horizontal="center"/>
    </xf>
    <xf numFmtId="0" fontId="5" fillId="0" borderId="7" xfId="0" applyFont="1" applyBorder="1" applyAlignment="1"/>
    <xf numFmtId="0" fontId="2" fillId="0" borderId="0" xfId="0" applyFont="1" applyAlignment="1">
      <alignment horizontal="center"/>
    </xf>
    <xf numFmtId="0" fontId="3" fillId="0" borderId="0" xfId="0" applyFont="1" applyAlignment="1">
      <alignment horizontal="center"/>
    </xf>
    <xf numFmtId="0" fontId="4" fillId="2" borderId="1" xfId="0" applyFont="1" applyFill="1" applyBorder="1" applyAlignment="1">
      <alignment horizontal="center"/>
    </xf>
    <xf numFmtId="0" fontId="5" fillId="0" borderId="2" xfId="0" applyFont="1" applyBorder="1" applyAlignment="1"/>
    <xf numFmtId="0" fontId="5" fillId="0" borderId="3" xfId="0" applyFont="1" applyBorder="1" applyAlignment="1"/>
    <xf numFmtId="0" fontId="6" fillId="0" borderId="4" xfId="0" applyFont="1" applyBorder="1" applyAlignment="1">
      <alignment horizontal="center"/>
    </xf>
    <xf numFmtId="0" fontId="5" fillId="0" borderId="5" xfId="0" applyFont="1" applyBorder="1" applyAlignment="1"/>
    <xf numFmtId="0" fontId="9" fillId="0" borderId="17" xfId="0" applyFont="1" applyBorder="1" applyAlignment="1">
      <alignment horizontal="left" vertical="top" wrapText="1"/>
    </xf>
    <xf numFmtId="0" fontId="5" fillId="0" borderId="18" xfId="0" applyFont="1" applyBorder="1" applyAlignment="1"/>
    <xf numFmtId="0" fontId="5" fillId="0" borderId="19" xfId="0" applyFont="1" applyBorder="1" applyAlignment="1"/>
    <xf numFmtId="0" fontId="5" fillId="0" borderId="4" xfId="0" applyFont="1" applyBorder="1" applyAlignment="1"/>
    <xf numFmtId="0" fontId="5" fillId="0" borderId="6" xfId="0" applyFont="1" applyBorder="1" applyAlignment="1"/>
    <xf numFmtId="0" fontId="5" fillId="0" borderId="8" xfId="0" applyFont="1" applyBorder="1" applyAlignment="1"/>
    <xf numFmtId="0" fontId="7" fillId="0" borderId="0" xfId="0" applyFont="1" applyAlignment="1"/>
    <xf numFmtId="0" fontId="7" fillId="0" borderId="12" xfId="0" applyFont="1" applyBorder="1" applyAlignment="1"/>
    <xf numFmtId="0" fontId="5" fillId="0" borderId="13" xfId="0" applyFont="1" applyBorder="1" applyAlignment="1"/>
    <xf numFmtId="164" fontId="9" fillId="2" borderId="16" xfId="0" applyNumberFormat="1" applyFont="1" applyFill="1" applyBorder="1" applyAlignment="1">
      <alignment horizontal="left" vertical="top" wrapText="1"/>
    </xf>
    <xf numFmtId="0" fontId="5" fillId="0" borderId="16" xfId="0" applyFont="1" applyBorder="1" applyAlignment="1"/>
    <xf numFmtId="0" fontId="19" fillId="2" borderId="17" xfId="0" applyFont="1" applyFill="1" applyBorder="1" applyAlignment="1"/>
    <xf numFmtId="0" fontId="7" fillId="0" borderId="4" xfId="0" applyFont="1" applyBorder="1" applyAlignment="1">
      <alignment horizontal="left" vertical="top" wrapText="1"/>
    </xf>
    <xf numFmtId="0" fontId="23" fillId="0" borderId="21" xfId="0" applyFont="1" applyBorder="1" applyAlignment="1">
      <alignment horizontal="center"/>
    </xf>
    <xf numFmtId="0" fontId="23" fillId="0" borderId="22" xfId="0" applyFont="1" applyBorder="1" applyAlignment="1">
      <alignment horizontal="center"/>
    </xf>
    <xf numFmtId="0" fontId="23" fillId="0" borderId="23" xfId="0" applyFont="1" applyBorder="1" applyAlignment="1">
      <alignment horizontal="center"/>
    </xf>
    <xf numFmtId="0" fontId="15" fillId="0" borderId="0" xfId="0" applyFont="1" applyAlignment="1">
      <alignment horizontal="left"/>
    </xf>
    <xf numFmtId="0" fontId="7" fillId="0" borderId="17" xfId="0" applyFont="1" applyBorder="1" applyAlignment="1">
      <alignment horizontal="left" vertical="top" wrapText="1"/>
    </xf>
  </cellXfs>
  <cellStyles count="1">
    <cellStyle name="Normal" xfId="0" builtinId="0"/>
  </cellStyles>
  <dxfs count="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2">
    <tableStyle name="DataSet-style" pivot="0" count="3">
      <tableStyleElement type="headerRow" dxfId="2"/>
      <tableStyleElement type="firstRowStripe" dxfId="1"/>
      <tableStyleElement type="secondRowStripe" dxfId="0"/>
    </tableStyle>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ome%20Page'!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Home%20Page'!A1"/></Relationships>
</file>

<file path=xl/drawings/_rels/drawing4.xml.rels><?xml version="1.0" encoding="UTF-8" standalone="yes"?>
<Relationships xmlns="http://schemas.openxmlformats.org/package/2006/relationships"><Relationship Id="rId1" Type="http://schemas.openxmlformats.org/officeDocument/2006/relationships/hyperlink" Target="#'Home%20Page'!A1"/></Relationships>
</file>

<file path=xl/drawings/drawing1.xml><?xml version="1.0" encoding="utf-8"?>
<xdr:wsDr xmlns:xdr="http://schemas.openxmlformats.org/drawingml/2006/spreadsheetDrawing" xmlns:a="http://schemas.openxmlformats.org/drawingml/2006/main">
  <xdr:oneCellAnchor>
    <xdr:from>
      <xdr:col>6</xdr:col>
      <xdr:colOff>152400</xdr:colOff>
      <xdr:row>1</xdr:row>
      <xdr:rowOff>47625</xdr:rowOff>
    </xdr:from>
    <xdr:ext cx="1000125"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100-000003000000}"/>
            </a:ext>
          </a:extLst>
        </xdr:cNvPr>
        <xdr:cNvSpPr txBox="1"/>
      </xdr:nvSpPr>
      <xdr:spPr>
        <a:xfrm>
          <a:off x="4845938" y="3527588"/>
          <a:ext cx="1000125" cy="504825"/>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19</xdr:col>
      <xdr:colOff>581025</xdr:colOff>
      <xdr:row>0</xdr:row>
      <xdr:rowOff>152400</xdr:rowOff>
    </xdr:from>
    <xdr:to>
      <xdr:col>26</xdr:col>
      <xdr:colOff>196850</xdr:colOff>
      <xdr:row>29</xdr:row>
      <xdr:rowOff>158750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63700" y="152400"/>
          <a:ext cx="6350000" cy="5397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428625</xdr:colOff>
      <xdr:row>1</xdr:row>
      <xdr:rowOff>9525</xdr:rowOff>
    </xdr:from>
    <xdr:ext cx="981075" cy="514350"/>
    <xdr:sp macro="" textlink="">
      <xdr:nvSpPr>
        <xdr:cNvPr id="4" name="Shape 4">
          <a:hlinkClick xmlns:r="http://schemas.openxmlformats.org/officeDocument/2006/relationships" r:id="rId1"/>
          <a:extLst>
            <a:ext uri="{FF2B5EF4-FFF2-40B4-BE49-F238E27FC236}">
              <a16:creationId xmlns:a16="http://schemas.microsoft.com/office/drawing/2014/main" id="{00000000-0008-0000-0300-000004000000}"/>
            </a:ext>
          </a:extLst>
        </xdr:cNvPr>
        <xdr:cNvSpPr txBox="1"/>
      </xdr:nvSpPr>
      <xdr:spPr>
        <a:xfrm>
          <a:off x="4860225" y="3522825"/>
          <a:ext cx="971550" cy="514350"/>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11</xdr:col>
      <xdr:colOff>0</xdr:colOff>
      <xdr:row>0</xdr:row>
      <xdr:rowOff>133350</xdr:rowOff>
    </xdr:from>
    <xdr:ext cx="923925" cy="5905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400-000005000000}"/>
            </a:ext>
          </a:extLst>
        </xdr:cNvPr>
        <xdr:cNvSpPr txBox="1"/>
      </xdr:nvSpPr>
      <xdr:spPr>
        <a:xfrm>
          <a:off x="4884038" y="3489488"/>
          <a:ext cx="923925" cy="581025"/>
        </a:xfrm>
        <a:prstGeom prst="rect">
          <a:avLst/>
        </a:prstGeom>
        <a:solidFill>
          <a:srgbClr val="7030A0"/>
        </a:solidFill>
        <a:ln>
          <a:noFill/>
        </a:ln>
        <a:effectLst>
          <a:outerShdw blurRad="44450" dist="27940" dir="5400000" algn="ctr">
            <a:srgbClr val="000000">
              <a:alpha val="31764"/>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Click to return to Home Page</a:t>
          </a:r>
          <a:endParaRPr sz="1100">
            <a:solidFill>
              <a:schemeClr val="lt1"/>
            </a:solidFill>
          </a:endParaRPr>
        </a:p>
      </xdr:txBody>
    </xdr:sp>
    <xdr:clientData fLocksWithSheet="0"/>
  </xdr:oneCellAnchor>
</xdr:wsDr>
</file>

<file path=xl/tables/table1.xml><?xml version="1.0" encoding="utf-8"?>
<table xmlns="http://schemas.openxmlformats.org/spreadsheetml/2006/main" id="1" name="Table_1" displayName="Table_1" ref="A2:K109">
  <tableColumns count="1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s>
  <tableStyleInfo name="Table Style 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998"/>
  <sheetViews>
    <sheetView showGridLines="0" workbookViewId="0"/>
  </sheetViews>
  <sheetFormatPr defaultColWidth="14.42578125" defaultRowHeight="15" customHeight="1"/>
  <cols>
    <col min="1" max="1" width="2.42578125" customWidth="1"/>
    <col min="2" max="2" width="9.140625" customWidth="1"/>
    <col min="3" max="3" width="15" customWidth="1"/>
    <col min="4" max="9" width="9.140625" customWidth="1"/>
    <col min="10" max="18" width="8.7109375" customWidth="1"/>
  </cols>
  <sheetData>
    <row r="1" spans="4:9" ht="14.25" customHeight="1"/>
    <row r="2" spans="4:9" ht="14.25" customHeight="1"/>
    <row r="3" spans="4:9" ht="14.25" customHeight="1"/>
    <row r="4" spans="4:9" ht="14.25" customHeight="1">
      <c r="D4" s="63" t="s">
        <v>0</v>
      </c>
      <c r="E4" s="60"/>
      <c r="F4" s="60"/>
      <c r="G4" s="60"/>
      <c r="H4" s="60"/>
      <c r="I4" s="60"/>
    </row>
    <row r="5" spans="4:9" ht="14.25" customHeight="1">
      <c r="D5" s="64" t="s">
        <v>0</v>
      </c>
      <c r="E5" s="60"/>
      <c r="F5" s="60"/>
      <c r="G5" s="60"/>
      <c r="H5" s="60"/>
      <c r="I5" s="60"/>
    </row>
    <row r="6" spans="4:9" ht="14.25" customHeight="1"/>
    <row r="7" spans="4:9" ht="14.25" customHeight="1"/>
    <row r="8" spans="4:9" ht="14.25" customHeight="1"/>
    <row r="9" spans="4:9" ht="14.25" customHeight="1">
      <c r="D9" s="65" t="s">
        <v>1</v>
      </c>
      <c r="E9" s="66"/>
      <c r="F9" s="66"/>
      <c r="G9" s="66"/>
      <c r="H9" s="67"/>
    </row>
    <row r="10" spans="4:9" ht="14.25" customHeight="1">
      <c r="D10" s="68" t="s">
        <v>2</v>
      </c>
      <c r="E10" s="60"/>
      <c r="F10" s="60"/>
      <c r="G10" s="60"/>
      <c r="H10" s="69"/>
    </row>
    <row r="11" spans="4:9" ht="14.25" customHeight="1">
      <c r="D11" s="1"/>
      <c r="E11" s="59" t="s">
        <v>3</v>
      </c>
      <c r="F11" s="60"/>
      <c r="G11" s="60"/>
      <c r="H11" s="2"/>
    </row>
    <row r="12" spans="4:9" ht="14.25" customHeight="1">
      <c r="D12" s="1"/>
      <c r="E12" s="59" t="s">
        <v>4</v>
      </c>
      <c r="F12" s="60"/>
      <c r="G12" s="60"/>
      <c r="H12" s="2"/>
    </row>
    <row r="13" spans="4:9" ht="14.25" customHeight="1">
      <c r="D13" s="3"/>
      <c r="E13" s="61" t="s">
        <v>5</v>
      </c>
      <c r="F13" s="62"/>
      <c r="G13" s="62"/>
      <c r="H13" s="4"/>
    </row>
    <row r="14" spans="4:9" ht="14.25" customHeight="1"/>
    <row r="15" spans="4:9" ht="14.25" customHeight="1"/>
    <row r="16" spans="4: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7">
    <mergeCell ref="E11:G11"/>
    <mergeCell ref="E12:G12"/>
    <mergeCell ref="E13:G13"/>
    <mergeCell ref="D4:I4"/>
    <mergeCell ref="D5:I5"/>
    <mergeCell ref="D9:H9"/>
    <mergeCell ref="D10:H1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showGridLines="0" topLeftCell="C56" workbookViewId="0">
      <selection activeCell="K71" sqref="K71"/>
    </sheetView>
  </sheetViews>
  <sheetFormatPr defaultColWidth="14.42578125" defaultRowHeight="15" customHeight="1"/>
  <cols>
    <col min="1" max="1" width="8.7109375" customWidth="1"/>
    <col min="2" max="2" width="41" customWidth="1"/>
    <col min="3" max="3" width="9.85546875" customWidth="1"/>
    <col min="4" max="4" width="15.28515625" customWidth="1"/>
    <col min="5" max="5" width="18.7109375" customWidth="1"/>
    <col min="6" max="6" width="14" customWidth="1"/>
    <col min="7" max="7" width="8.7109375" customWidth="1"/>
    <col min="8" max="8" width="22.5703125" customWidth="1"/>
    <col min="9" max="9" width="26.42578125" customWidth="1"/>
    <col min="10" max="10" width="19.85546875" customWidth="1"/>
    <col min="11" max="11" width="17" customWidth="1"/>
    <col min="12" max="26" width="8.7109375" customWidth="1"/>
  </cols>
  <sheetData>
    <row r="1" spans="2:5" ht="14.25" customHeight="1"/>
    <row r="2" spans="2:5" ht="14.25" customHeight="1">
      <c r="B2" s="5" t="s">
        <v>6</v>
      </c>
    </row>
    <row r="3" spans="2:5" ht="15" customHeight="1">
      <c r="B3" s="70" t="s">
        <v>7</v>
      </c>
      <c r="C3" s="71"/>
      <c r="D3" s="72"/>
      <c r="E3" s="6"/>
    </row>
    <row r="4" spans="2:5" ht="14.25" customHeight="1">
      <c r="B4" s="73"/>
      <c r="C4" s="60"/>
      <c r="D4" s="69"/>
      <c r="E4" s="6"/>
    </row>
    <row r="5" spans="2:5" ht="24" customHeight="1">
      <c r="B5" s="73"/>
      <c r="C5" s="60"/>
      <c r="D5" s="69"/>
      <c r="E5" s="6"/>
    </row>
    <row r="6" spans="2:5" ht="24" customHeight="1">
      <c r="B6" s="74"/>
      <c r="C6" s="62"/>
      <c r="D6" s="75"/>
      <c r="E6" s="6"/>
    </row>
    <row r="7" spans="2:5" ht="14.25" customHeight="1">
      <c r="B7" s="7"/>
      <c r="C7" s="7"/>
      <c r="D7" s="7"/>
      <c r="E7" s="6"/>
    </row>
    <row r="8" spans="2:5" ht="14.25" customHeight="1">
      <c r="B8" s="8" t="s">
        <v>8</v>
      </c>
    </row>
    <row r="9" spans="2:5" ht="14.25" customHeight="1">
      <c r="B9" s="9" t="s">
        <v>9</v>
      </c>
      <c r="C9" s="9" t="s">
        <v>10</v>
      </c>
      <c r="D9" s="9" t="s">
        <v>11</v>
      </c>
    </row>
    <row r="10" spans="2:5" ht="14.25" customHeight="1">
      <c r="B10" s="10" t="s">
        <v>12</v>
      </c>
      <c r="C10" s="10" t="s">
        <v>13</v>
      </c>
      <c r="D10" s="11">
        <v>1522</v>
      </c>
    </row>
    <row r="11" spans="2:5" ht="14.25" customHeight="1">
      <c r="B11" s="10" t="s">
        <v>12</v>
      </c>
      <c r="C11" s="10" t="s">
        <v>14</v>
      </c>
      <c r="D11" s="11">
        <v>1589</v>
      </c>
    </row>
    <row r="12" spans="2:5" ht="14.25" customHeight="1">
      <c r="B12" s="10" t="s">
        <v>12</v>
      </c>
      <c r="C12" s="10" t="s">
        <v>15</v>
      </c>
      <c r="D12" s="11">
        <v>1829</v>
      </c>
    </row>
    <row r="13" spans="2:5" ht="14.25" customHeight="1">
      <c r="B13" s="10" t="s">
        <v>12</v>
      </c>
      <c r="C13" s="10" t="s">
        <v>15</v>
      </c>
      <c r="D13" s="11">
        <v>1797</v>
      </c>
    </row>
    <row r="14" spans="2:5" ht="14.25" customHeight="1">
      <c r="B14" s="10" t="s">
        <v>12</v>
      </c>
      <c r="C14" s="10" t="s">
        <v>14</v>
      </c>
      <c r="D14" s="11">
        <v>1744</v>
      </c>
    </row>
    <row r="15" spans="2:5" ht="14.25" customHeight="1">
      <c r="B15" s="10" t="s">
        <v>16</v>
      </c>
      <c r="C15" s="10" t="s">
        <v>14</v>
      </c>
      <c r="D15" s="11">
        <v>1868</v>
      </c>
    </row>
    <row r="16" spans="2:5" ht="14.25" customHeight="1">
      <c r="B16" s="10" t="s">
        <v>16</v>
      </c>
      <c r="C16" s="10" t="s">
        <v>17</v>
      </c>
      <c r="D16" s="11">
        <v>1694</v>
      </c>
    </row>
    <row r="17" spans="2:9" ht="14.25" customHeight="1">
      <c r="B17" s="10" t="s">
        <v>18</v>
      </c>
      <c r="C17" s="10" t="s">
        <v>17</v>
      </c>
      <c r="D17" s="11">
        <v>1626</v>
      </c>
    </row>
    <row r="18" spans="2:9" ht="14.25" customHeight="1">
      <c r="B18" s="10" t="s">
        <v>18</v>
      </c>
      <c r="C18" s="10" t="s">
        <v>14</v>
      </c>
      <c r="D18" s="11">
        <v>1781</v>
      </c>
    </row>
    <row r="19" spans="2:9" ht="14.25" customHeight="1">
      <c r="B19" s="10" t="s">
        <v>19</v>
      </c>
      <c r="C19" s="10" t="s">
        <v>15</v>
      </c>
      <c r="D19" s="11">
        <v>1279</v>
      </c>
    </row>
    <row r="20" spans="2:9" ht="14.25" customHeight="1">
      <c r="B20" s="10" t="s">
        <v>19</v>
      </c>
      <c r="C20" s="10" t="s">
        <v>13</v>
      </c>
      <c r="D20" s="11">
        <v>1684</v>
      </c>
    </row>
    <row r="21" spans="2:9" ht="14.25" customHeight="1">
      <c r="H21" s="10"/>
      <c r="I21" s="10"/>
    </row>
    <row r="22" spans="2:9" ht="14.25" customHeight="1">
      <c r="E22" s="76" t="s">
        <v>20</v>
      </c>
      <c r="F22" s="60"/>
      <c r="G22" s="60"/>
      <c r="H22" s="77" t="s">
        <v>21</v>
      </c>
      <c r="I22" s="78"/>
    </row>
    <row r="23" spans="2:9" ht="14.25" customHeight="1">
      <c r="B23" s="13" t="s">
        <v>22</v>
      </c>
      <c r="C23" s="13"/>
      <c r="E23" s="14" t="s">
        <v>23</v>
      </c>
      <c r="F23" s="14" t="s">
        <v>11</v>
      </c>
      <c r="H23" s="15" t="s">
        <v>24</v>
      </c>
      <c r="I23" s="15" t="s">
        <v>11</v>
      </c>
    </row>
    <row r="24" spans="2:9" ht="14.25" customHeight="1">
      <c r="B24" s="16"/>
      <c r="C24" s="13"/>
      <c r="E24" s="14" t="s">
        <v>14</v>
      </c>
      <c r="F24" s="10">
        <f>SUMIF(Teams1to3,E24,Total_sale)</f>
        <v>6982</v>
      </c>
      <c r="H24" s="15" t="s">
        <v>12</v>
      </c>
      <c r="I24" s="10">
        <f>SUMIF(months,H24,Total_sale)</f>
        <v>8481</v>
      </c>
    </row>
    <row r="25" spans="2:9" ht="14.25" customHeight="1">
      <c r="B25" s="17" t="s">
        <v>25</v>
      </c>
      <c r="C25" s="18">
        <f>SUM(Total_sale)</f>
        <v>18413</v>
      </c>
      <c r="E25" s="14" t="s">
        <v>15</v>
      </c>
      <c r="F25" s="10">
        <f>SUMIF(Teams1to3,E25,Total_sale)</f>
        <v>4905</v>
      </c>
      <c r="H25" s="15" t="s">
        <v>16</v>
      </c>
      <c r="I25" s="10">
        <f>SUMIF(months,H25,Total_sale)</f>
        <v>3562</v>
      </c>
    </row>
    <row r="26" spans="2:9" ht="14.25" customHeight="1">
      <c r="B26" s="17" t="s">
        <v>26</v>
      </c>
      <c r="C26" s="18">
        <f>AVERAGE(Total_sale)</f>
        <v>1673.909090909091</v>
      </c>
      <c r="E26" s="14" t="s">
        <v>13</v>
      </c>
      <c r="F26" s="10">
        <f>SUMIF(Teams1to3,E26,Total_sale)</f>
        <v>3206</v>
      </c>
      <c r="H26" s="15" t="s">
        <v>18</v>
      </c>
      <c r="I26" s="10">
        <f>SUMIF(months,H26,Total_sale)</f>
        <v>3407</v>
      </c>
    </row>
    <row r="27" spans="2:9" ht="14.25" customHeight="1">
      <c r="B27" s="17" t="s">
        <v>27</v>
      </c>
      <c r="C27" s="18">
        <f>COUNT(Total_sale)</f>
        <v>11</v>
      </c>
      <c r="E27" s="14" t="s">
        <v>17</v>
      </c>
      <c r="F27" s="10">
        <f>SUMIF(Teams1to3,E27,Total_sale)</f>
        <v>3320</v>
      </c>
      <c r="H27" s="15" t="s">
        <v>19</v>
      </c>
      <c r="I27" s="10">
        <f>SUMIF(months,H27,Total_sale)</f>
        <v>2963</v>
      </c>
    </row>
    <row r="28" spans="2:9" ht="14.25" customHeight="1">
      <c r="B28" s="16"/>
      <c r="C28" s="16"/>
    </row>
    <row r="29" spans="2:9" ht="14.25" customHeight="1">
      <c r="B29" s="16" t="s">
        <v>28</v>
      </c>
      <c r="C29" s="13"/>
    </row>
    <row r="30" spans="2:9" ht="14.25" customHeight="1">
      <c r="B30" s="16"/>
      <c r="C30" s="13"/>
    </row>
    <row r="31" spans="2:9" ht="14.25" customHeight="1">
      <c r="B31" s="17" t="s">
        <v>25</v>
      </c>
      <c r="C31" s="18">
        <f>SUBTOTAL(9, Total_sale)</f>
        <v>18413</v>
      </c>
    </row>
    <row r="32" spans="2:9" ht="14.25" customHeight="1">
      <c r="B32" s="17" t="s">
        <v>26</v>
      </c>
      <c r="C32" s="18">
        <f>SUBTOTAL(101, Total_sale)</f>
        <v>1673.909090909091</v>
      </c>
    </row>
    <row r="33" spans="2:11" ht="14.25" customHeight="1">
      <c r="B33" s="17" t="s">
        <v>27</v>
      </c>
      <c r="C33" s="18">
        <f>SUBTOTAL(2, Total_sale)</f>
        <v>11</v>
      </c>
    </row>
    <row r="34" spans="2:11" ht="14.25" customHeight="1">
      <c r="B34" s="19"/>
      <c r="C34" s="20"/>
    </row>
    <row r="35" spans="2:11" ht="14.25" customHeight="1">
      <c r="B35" s="21" t="s">
        <v>29</v>
      </c>
      <c r="C35" s="22"/>
      <c r="D35" s="12"/>
      <c r="E35" s="12"/>
      <c r="F35" s="12"/>
      <c r="G35" s="12"/>
      <c r="H35" s="12"/>
      <c r="I35" s="12"/>
      <c r="J35" s="12"/>
      <c r="K35" s="12"/>
    </row>
    <row r="36" spans="2:11" ht="59.25" customHeight="1">
      <c r="B36" s="79" t="s">
        <v>30</v>
      </c>
      <c r="C36" s="80"/>
      <c r="D36" s="80"/>
      <c r="E36" s="80"/>
      <c r="F36" s="12"/>
      <c r="G36" s="12"/>
      <c r="H36" s="12" t="s">
        <v>31</v>
      </c>
      <c r="I36" s="12"/>
      <c r="J36" s="12"/>
      <c r="K36" s="12"/>
    </row>
    <row r="37" spans="2:11" ht="19.5" customHeight="1">
      <c r="B37" s="80"/>
      <c r="C37" s="80"/>
      <c r="D37" s="80"/>
      <c r="E37" s="80"/>
      <c r="F37" s="12"/>
      <c r="G37" s="12"/>
      <c r="H37" s="12"/>
      <c r="I37" s="12"/>
      <c r="J37" s="12"/>
      <c r="K37" s="12"/>
    </row>
    <row r="38" spans="2:11" ht="14.25" customHeight="1">
      <c r="B38" s="23"/>
      <c r="C38" s="22"/>
      <c r="D38" s="12"/>
      <c r="E38" s="12"/>
      <c r="F38" s="12"/>
      <c r="G38" s="12"/>
      <c r="H38" s="12"/>
      <c r="I38" s="12"/>
      <c r="J38" s="12"/>
      <c r="K38" s="12"/>
    </row>
    <row r="39" spans="2:11" ht="14.25" customHeight="1">
      <c r="B39" s="24" t="s">
        <v>32</v>
      </c>
      <c r="C39" s="25" t="s">
        <v>33</v>
      </c>
      <c r="D39" s="54" t="s">
        <v>34</v>
      </c>
      <c r="E39" s="54" t="s">
        <v>35</v>
      </c>
      <c r="F39" s="25" t="s">
        <v>36</v>
      </c>
      <c r="G39" s="12"/>
      <c r="H39" s="15"/>
      <c r="I39" s="26" t="s">
        <v>34</v>
      </c>
      <c r="J39" s="26" t="s">
        <v>35</v>
      </c>
      <c r="K39" s="26" t="s">
        <v>36</v>
      </c>
    </row>
    <row r="40" spans="2:11" ht="14.25" customHeight="1">
      <c r="B40" s="10" t="s">
        <v>37</v>
      </c>
      <c r="C40" s="10">
        <v>2018</v>
      </c>
      <c r="D40" s="57">
        <v>2039736</v>
      </c>
      <c r="E40" s="57">
        <v>8931383</v>
      </c>
      <c r="F40" s="27">
        <f>D40-E40</f>
        <v>-6891647</v>
      </c>
      <c r="G40" s="12"/>
      <c r="H40" s="28" t="s">
        <v>25</v>
      </c>
      <c r="I40" s="56">
        <f>SUM(Traning_budget)</f>
        <v>87226070</v>
      </c>
      <c r="J40" s="56">
        <f>SUM(Traning_cost)</f>
        <v>189621604</v>
      </c>
      <c r="K40" s="57">
        <f>SUM(difference)</f>
        <v>-102395534</v>
      </c>
    </row>
    <row r="41" spans="2:11" ht="14.25" customHeight="1">
      <c r="B41" s="10" t="s">
        <v>38</v>
      </c>
      <c r="C41" s="10">
        <v>2018</v>
      </c>
      <c r="D41" s="57">
        <v>1500349</v>
      </c>
      <c r="E41" s="57">
        <v>2058103</v>
      </c>
      <c r="F41" s="27">
        <f t="shared" ref="F41:F74" si="0">D41-E41</f>
        <v>-557754</v>
      </c>
      <c r="G41" s="12"/>
      <c r="H41" s="28" t="s">
        <v>26</v>
      </c>
      <c r="I41" s="56">
        <f>AVERAGE(Traning_budget)</f>
        <v>2492173.4285714286</v>
      </c>
      <c r="J41" s="56">
        <f>AVERAGE(Traning_cost)</f>
        <v>5417760.114285714</v>
      </c>
      <c r="K41" s="57">
        <f>AVERAGE(difference)</f>
        <v>-2925586.6857142858</v>
      </c>
    </row>
    <row r="42" spans="2:11" ht="14.25" customHeight="1">
      <c r="B42" s="10" t="s">
        <v>39</v>
      </c>
      <c r="C42" s="10">
        <v>2018</v>
      </c>
      <c r="D42" s="57">
        <v>1408171</v>
      </c>
      <c r="E42" s="57">
        <v>8387090</v>
      </c>
      <c r="F42" s="27">
        <f t="shared" si="0"/>
        <v>-6978919</v>
      </c>
      <c r="G42" s="12"/>
      <c r="H42" s="28" t="s">
        <v>27</v>
      </c>
      <c r="I42" s="55">
        <f>COUNT(Traning_budget)</f>
        <v>35</v>
      </c>
      <c r="J42" s="29">
        <f>COUNT(Traning_cost)</f>
        <v>35</v>
      </c>
      <c r="K42" s="58">
        <f>COUNT(difference)</f>
        <v>35</v>
      </c>
    </row>
    <row r="43" spans="2:11" ht="14.25" customHeight="1">
      <c r="B43" s="10" t="s">
        <v>40</v>
      </c>
      <c r="C43" s="10">
        <v>2018</v>
      </c>
      <c r="D43" s="57">
        <v>593927</v>
      </c>
      <c r="E43" s="57">
        <v>3403073</v>
      </c>
      <c r="F43" s="27">
        <f t="shared" si="0"/>
        <v>-2809146</v>
      </c>
      <c r="G43" s="12"/>
      <c r="H43" s="28" t="s">
        <v>41</v>
      </c>
      <c r="I43" s="56">
        <f>MIN(Traning_budget)</f>
        <v>593927</v>
      </c>
      <c r="J43" s="56">
        <f>MIN(Traning_cost)</f>
        <v>814383</v>
      </c>
      <c r="K43" s="57">
        <f>MIN(difference)</f>
        <v>-6978919</v>
      </c>
    </row>
    <row r="44" spans="2:11" ht="14.25" customHeight="1">
      <c r="B44" s="10" t="s">
        <v>42</v>
      </c>
      <c r="C44" s="10">
        <v>2018</v>
      </c>
      <c r="D44" s="57">
        <v>621816</v>
      </c>
      <c r="E44" s="57">
        <v>4208897</v>
      </c>
      <c r="F44" s="27">
        <f t="shared" si="0"/>
        <v>-3587081</v>
      </c>
      <c r="H44" s="28" t="s">
        <v>43</v>
      </c>
      <c r="I44" s="56">
        <f>MAX(Traning_budget)</f>
        <v>4894363</v>
      </c>
      <c r="J44" s="56">
        <f>MAX(Traning_cost)</f>
        <v>8931383</v>
      </c>
      <c r="K44" s="57">
        <f>MAX(difference)</f>
        <v>3692061</v>
      </c>
    </row>
    <row r="45" spans="2:11" ht="14.25" customHeight="1">
      <c r="B45" s="10" t="s">
        <v>38</v>
      </c>
      <c r="C45" s="10">
        <v>2018</v>
      </c>
      <c r="D45" s="57">
        <v>3845610</v>
      </c>
      <c r="E45" s="57">
        <v>5386159</v>
      </c>
      <c r="F45" s="27">
        <f t="shared" si="0"/>
        <v>-1540549</v>
      </c>
      <c r="K45" s="12"/>
    </row>
    <row r="46" spans="2:11" ht="14.25" customHeight="1">
      <c r="B46" s="10" t="s">
        <v>39</v>
      </c>
      <c r="C46" s="10">
        <v>2018</v>
      </c>
      <c r="D46" s="57">
        <v>2881955</v>
      </c>
      <c r="E46" s="57">
        <v>5520399</v>
      </c>
      <c r="F46" s="27">
        <f t="shared" si="0"/>
        <v>-2638444</v>
      </c>
      <c r="H46" s="30" t="s">
        <v>44</v>
      </c>
      <c r="I46" s="31" t="s">
        <v>34</v>
      </c>
      <c r="J46" s="31" t="s">
        <v>35</v>
      </c>
      <c r="K46" s="31" t="s">
        <v>36</v>
      </c>
    </row>
    <row r="47" spans="2:11" ht="14.25" customHeight="1">
      <c r="B47" s="10" t="s">
        <v>40</v>
      </c>
      <c r="C47" s="10">
        <v>2018</v>
      </c>
      <c r="D47" s="57">
        <v>3643495</v>
      </c>
      <c r="E47" s="57">
        <v>7751040</v>
      </c>
      <c r="F47" s="27">
        <f t="shared" si="0"/>
        <v>-4107545</v>
      </c>
      <c r="H47" s="30" t="s">
        <v>25</v>
      </c>
      <c r="I47" s="27">
        <f>SUBTOTAL(9,Traning_budget)</f>
        <v>87226070</v>
      </c>
      <c r="J47" s="27">
        <f>SUBTOTAL(9,Traning_cost)</f>
        <v>189621604</v>
      </c>
      <c r="K47" s="27">
        <f>SUBTOTAL(9, difference)</f>
        <v>-102395534</v>
      </c>
    </row>
    <row r="48" spans="2:11" ht="14.25" customHeight="1">
      <c r="B48" s="10" t="s">
        <v>37</v>
      </c>
      <c r="C48" s="10">
        <v>2018</v>
      </c>
      <c r="D48" s="57">
        <v>2215332</v>
      </c>
      <c r="E48" s="57">
        <v>2744211</v>
      </c>
      <c r="F48" s="27">
        <f t="shared" si="0"/>
        <v>-528879</v>
      </c>
      <c r="H48" s="30" t="s">
        <v>26</v>
      </c>
      <c r="I48" s="27">
        <f>SUBTOTAL(1, Traning_budget)</f>
        <v>2492173.4285714286</v>
      </c>
      <c r="J48" s="27">
        <f>SUBTOTAL(1, Traning_cost)</f>
        <v>5417760.114285714</v>
      </c>
      <c r="K48" s="27">
        <f>SUBTOTAL(1,difference)</f>
        <v>-2925586.6857142858</v>
      </c>
    </row>
    <row r="49" spans="2:11" ht="14.25" customHeight="1">
      <c r="B49" s="10" t="s">
        <v>37</v>
      </c>
      <c r="C49" s="10">
        <v>2018</v>
      </c>
      <c r="D49" s="57">
        <v>2726619</v>
      </c>
      <c r="E49" s="57">
        <v>7220132</v>
      </c>
      <c r="F49" s="27">
        <f t="shared" si="0"/>
        <v>-4493513</v>
      </c>
      <c r="H49" s="30" t="s">
        <v>27</v>
      </c>
      <c r="I49" s="27">
        <f>SUBTOTAL(2,Traning_budget)</f>
        <v>35</v>
      </c>
      <c r="J49" s="27">
        <f>SUBTOTAL(2,Traning_cost)</f>
        <v>35</v>
      </c>
      <c r="K49" s="27">
        <f>SUBTOTAL(2,difference)</f>
        <v>35</v>
      </c>
    </row>
    <row r="50" spans="2:11" ht="14.25" customHeight="1">
      <c r="B50" s="10" t="s">
        <v>40</v>
      </c>
      <c r="C50" s="10">
        <v>2018</v>
      </c>
      <c r="D50" s="57">
        <v>1436801</v>
      </c>
      <c r="E50" s="57">
        <v>4847562</v>
      </c>
      <c r="F50" s="27">
        <f t="shared" si="0"/>
        <v>-3410761</v>
      </c>
      <c r="H50" s="30" t="s">
        <v>41</v>
      </c>
      <c r="I50" s="27">
        <f>SUBTOTAL(5, Traning_budget)</f>
        <v>593927</v>
      </c>
      <c r="J50" s="27">
        <f>SUBTOTAL(5, Traning_cost)</f>
        <v>814383</v>
      </c>
      <c r="K50" s="27">
        <f>SUBTOTAL(5,difference)</f>
        <v>-6978919</v>
      </c>
    </row>
    <row r="51" spans="2:11" ht="14.25" customHeight="1">
      <c r="B51" s="10" t="s">
        <v>42</v>
      </c>
      <c r="C51" s="10">
        <v>2019</v>
      </c>
      <c r="D51" s="57">
        <v>1140732</v>
      </c>
      <c r="E51" s="57">
        <v>1890874</v>
      </c>
      <c r="F51" s="27">
        <f t="shared" si="0"/>
        <v>-750142</v>
      </c>
      <c r="H51" s="30" t="s">
        <v>43</v>
      </c>
      <c r="I51" s="27">
        <f>SUBTOTAL(4,Traning_budget)</f>
        <v>4894363</v>
      </c>
      <c r="J51" s="27">
        <f>SUBTOTAL(4,Traning_cost)</f>
        <v>8931383</v>
      </c>
      <c r="K51" s="27">
        <f>SUBTOTAL(4, difference)</f>
        <v>3692061</v>
      </c>
    </row>
    <row r="52" spans="2:11" ht="14.25" customHeight="1">
      <c r="B52" s="10" t="s">
        <v>38</v>
      </c>
      <c r="C52" s="10">
        <v>2019</v>
      </c>
      <c r="D52" s="57">
        <v>2936066</v>
      </c>
      <c r="E52" s="57">
        <v>7396595</v>
      </c>
      <c r="F52" s="27">
        <f t="shared" si="0"/>
        <v>-4460529</v>
      </c>
    </row>
    <row r="53" spans="2:11" ht="14.25" customHeight="1">
      <c r="B53" s="10" t="s">
        <v>40</v>
      </c>
      <c r="C53" s="10">
        <v>2019</v>
      </c>
      <c r="D53" s="57">
        <v>1573555</v>
      </c>
      <c r="E53" s="57">
        <v>3789052</v>
      </c>
      <c r="F53" s="27">
        <f t="shared" si="0"/>
        <v>-2215497</v>
      </c>
      <c r="J53" s="32"/>
    </row>
    <row r="54" spans="2:11" ht="14.25" customHeight="1">
      <c r="B54" s="10" t="s">
        <v>37</v>
      </c>
      <c r="C54" s="10">
        <v>2019</v>
      </c>
      <c r="D54" s="57">
        <v>1356199</v>
      </c>
      <c r="E54" s="57">
        <v>7318681</v>
      </c>
      <c r="F54" s="27">
        <f t="shared" si="0"/>
        <v>-5962482</v>
      </c>
      <c r="H54" s="33" t="s">
        <v>45</v>
      </c>
      <c r="I54" s="10"/>
      <c r="J54" s="10"/>
      <c r="K54" s="10"/>
    </row>
    <row r="55" spans="2:11" ht="14.25" customHeight="1">
      <c r="B55" s="10" t="s">
        <v>38</v>
      </c>
      <c r="C55" s="10">
        <v>2019</v>
      </c>
      <c r="D55" s="57">
        <v>4117195</v>
      </c>
      <c r="E55" s="57">
        <v>6354354</v>
      </c>
      <c r="F55" s="27">
        <f t="shared" si="0"/>
        <v>-2237159</v>
      </c>
      <c r="H55" s="14" t="s">
        <v>33</v>
      </c>
      <c r="I55" s="14" t="s">
        <v>34</v>
      </c>
      <c r="J55" s="14" t="s">
        <v>35</v>
      </c>
      <c r="K55" s="14" t="s">
        <v>36</v>
      </c>
    </row>
    <row r="56" spans="2:11" ht="14.25" customHeight="1">
      <c r="B56" s="10" t="s">
        <v>39</v>
      </c>
      <c r="C56" s="10">
        <v>2019</v>
      </c>
      <c r="D56" s="57">
        <v>1133744</v>
      </c>
      <c r="E56" s="57">
        <v>5811424</v>
      </c>
      <c r="F56" s="27">
        <f t="shared" si="0"/>
        <v>-4677680</v>
      </c>
      <c r="H56" s="14">
        <v>2018</v>
      </c>
      <c r="I56" s="27">
        <f>SUMIF(year_18_19_20,H56,Traning_budget)</f>
        <v>21477010</v>
      </c>
      <c r="J56" s="27">
        <f>SUMIF(year_18_19_20,H56, Traning_cost)</f>
        <v>60458049</v>
      </c>
      <c r="K56" s="27">
        <f>SUMIF(year_val,H56,difference)</f>
        <v>-37544238</v>
      </c>
    </row>
    <row r="57" spans="2:11" ht="14.25" customHeight="1">
      <c r="B57" s="10" t="s">
        <v>40</v>
      </c>
      <c r="C57" s="10">
        <v>2019</v>
      </c>
      <c r="D57" s="57">
        <v>4694600</v>
      </c>
      <c r="E57" s="57">
        <v>4821344</v>
      </c>
      <c r="F57" s="27">
        <f t="shared" si="0"/>
        <v>-126744</v>
      </c>
      <c r="H57" s="14">
        <v>2019</v>
      </c>
      <c r="I57" s="27">
        <f>SUMIF(year_18_19_20,H57,Traning_budget)</f>
        <v>25822579</v>
      </c>
      <c r="J57" s="27">
        <f>SUMIF(year_18_19_20,H57, Traning_cost)</f>
        <v>58752055</v>
      </c>
      <c r="K57" s="27">
        <f>SUMIF(year_val,H57,difference)</f>
        <v>-29504414</v>
      </c>
    </row>
    <row r="58" spans="2:11" ht="14.25" customHeight="1">
      <c r="B58" s="10" t="s">
        <v>42</v>
      </c>
      <c r="C58" s="10">
        <v>2019</v>
      </c>
      <c r="D58" s="57">
        <v>4894363</v>
      </c>
      <c r="E58" s="57">
        <v>6570552</v>
      </c>
      <c r="F58" s="27">
        <f t="shared" si="0"/>
        <v>-1676189</v>
      </c>
      <c r="H58" s="14">
        <v>2020</v>
      </c>
      <c r="I58" s="27">
        <f>SUMIF(year_18_19_20,H58,Traning_budget)</f>
        <v>38603459</v>
      </c>
      <c r="J58" s="27">
        <f>SUMIF(year_18_19_20,H58, Traning_cost)</f>
        <v>70411500</v>
      </c>
      <c r="K58" s="27">
        <f>SUMIF(year_val,H58,difference)</f>
        <v>-35346882</v>
      </c>
    </row>
    <row r="59" spans="2:11" ht="14.25" customHeight="1">
      <c r="B59" s="10" t="s">
        <v>38</v>
      </c>
      <c r="C59" s="10">
        <v>2019</v>
      </c>
      <c r="D59" s="57">
        <v>2539324</v>
      </c>
      <c r="E59" s="57">
        <v>8154247</v>
      </c>
      <c r="F59" s="27">
        <f t="shared" si="0"/>
        <v>-5614923</v>
      </c>
    </row>
    <row r="60" spans="2:11" ht="14.25" customHeight="1">
      <c r="B60" s="10" t="s">
        <v>39</v>
      </c>
      <c r="C60" s="10">
        <v>2019</v>
      </c>
      <c r="D60" s="57">
        <v>4861863</v>
      </c>
      <c r="E60" s="57">
        <v>6644932</v>
      </c>
      <c r="F60" s="27">
        <f t="shared" si="0"/>
        <v>-1783069</v>
      </c>
      <c r="H60" s="34" t="s">
        <v>32</v>
      </c>
      <c r="I60" s="34" t="s">
        <v>34</v>
      </c>
      <c r="J60" s="34" t="s">
        <v>35</v>
      </c>
      <c r="K60" s="34" t="s">
        <v>36</v>
      </c>
    </row>
    <row r="61" spans="2:11" ht="14.25" customHeight="1">
      <c r="B61" s="10" t="s">
        <v>40</v>
      </c>
      <c r="C61" s="10">
        <v>2020</v>
      </c>
      <c r="D61" s="57">
        <v>1401063</v>
      </c>
      <c r="E61" s="57">
        <v>6974780</v>
      </c>
      <c r="F61" s="27">
        <f t="shared" si="0"/>
        <v>-5573717</v>
      </c>
      <c r="H61" s="35" t="s">
        <v>37</v>
      </c>
      <c r="I61" s="10">
        <f>SUMIF(Departmental_session,H61,Traning_budget)</f>
        <v>13265622</v>
      </c>
      <c r="J61" s="10">
        <f>SUMIF(Departmental_session,H61, Traning_cost)</f>
        <v>38189715</v>
      </c>
      <c r="K61" s="10">
        <f>SUMIF(Departmental_session,H61,difference)</f>
        <v>-18542091</v>
      </c>
    </row>
    <row r="62" spans="2:11" ht="14.25" customHeight="1">
      <c r="B62" s="10" t="s">
        <v>37</v>
      </c>
      <c r="C62" s="10">
        <v>2020</v>
      </c>
      <c r="D62" s="57">
        <v>3254243</v>
      </c>
      <c r="E62" s="57">
        <v>5093808</v>
      </c>
      <c r="F62" s="27">
        <f t="shared" si="0"/>
        <v>-1839565</v>
      </c>
      <c r="H62" s="35" t="s">
        <v>38</v>
      </c>
      <c r="I62" s="10">
        <f>SUMIF(Departmental_session,H62,Traning_budget)</f>
        <v>16074785</v>
      </c>
      <c r="J62" s="10">
        <f>SUMIF(Departmental_session,H62, Traning_cost)</f>
        <v>42943497</v>
      </c>
      <c r="K62" s="10">
        <f>SUMIF(Departmental_session,H62,difference)</f>
        <v>-21103821</v>
      </c>
    </row>
    <row r="63" spans="2:11" ht="14.25" customHeight="1">
      <c r="B63" s="10" t="s">
        <v>37</v>
      </c>
      <c r="C63" s="10">
        <v>2020</v>
      </c>
      <c r="D63" s="57">
        <v>3549051</v>
      </c>
      <c r="E63" s="57">
        <v>6067117</v>
      </c>
      <c r="F63" s="27">
        <f t="shared" si="0"/>
        <v>-2518066</v>
      </c>
      <c r="H63" s="35" t="s">
        <v>39</v>
      </c>
      <c r="I63" s="10">
        <f>SUMIF(Departmental_session,H63,Traning_budget)</f>
        <v>15224576</v>
      </c>
      <c r="J63" s="10">
        <f>SUMIF(Departmental_session,H63, Traning_cost)</f>
        <v>34131016</v>
      </c>
      <c r="K63" s="10">
        <f>SUMIF(Departmental_session,H63,difference)</f>
        <v>-21028565</v>
      </c>
    </row>
    <row r="64" spans="2:11" ht="14.25" customHeight="1">
      <c r="B64" s="10" t="s">
        <v>40</v>
      </c>
      <c r="C64" s="10">
        <v>2020</v>
      </c>
      <c r="D64" s="57">
        <v>4093026</v>
      </c>
      <c r="E64" s="57">
        <v>5392251</v>
      </c>
      <c r="F64" s="27">
        <f t="shared" si="0"/>
        <v>-1299225</v>
      </c>
      <c r="H64" s="35" t="s">
        <v>40</v>
      </c>
      <c r="I64" s="10">
        <f>SUMIF(Departmental_session,H64,Traning_budget)</f>
        <v>27216424</v>
      </c>
      <c r="J64" s="10">
        <f>SUMIF(Departmental_session,H64, Traning_cost)</f>
        <v>54825340</v>
      </c>
      <c r="K64" s="10">
        <f>SUMIF(Departmental_session,H64,difference)</f>
        <v>-30361427</v>
      </c>
    </row>
    <row r="65" spans="2:11" ht="14.25" customHeight="1">
      <c r="B65" s="10" t="s">
        <v>42</v>
      </c>
      <c r="C65" s="10">
        <v>2020</v>
      </c>
      <c r="D65" s="57">
        <v>916667</v>
      </c>
      <c r="E65" s="57">
        <v>4108170</v>
      </c>
      <c r="F65" s="27">
        <f t="shared" si="0"/>
        <v>-3191503</v>
      </c>
      <c r="H65" s="35" t="s">
        <v>42</v>
      </c>
      <c r="I65" s="10">
        <f>SUMIF(Departmental_session,H65,Traning_budget)</f>
        <v>14121641</v>
      </c>
      <c r="J65" s="10">
        <f>SUMIF(Departmental_session,H65, Traning_cost)</f>
        <v>19532036</v>
      </c>
      <c r="K65" s="10">
        <f>SUMIF(Departmental_session,H65,difference)</f>
        <v>-11359630</v>
      </c>
    </row>
    <row r="66" spans="2:11" ht="14.25" customHeight="1">
      <c r="B66" s="10" t="s">
        <v>38</v>
      </c>
      <c r="C66" s="10">
        <v>2020</v>
      </c>
      <c r="D66" s="57">
        <v>2356012</v>
      </c>
      <c r="E66" s="57">
        <v>6180347</v>
      </c>
      <c r="F66" s="27">
        <f t="shared" si="0"/>
        <v>-3824335</v>
      </c>
    </row>
    <row r="67" spans="2:11" ht="14.25" customHeight="1">
      <c r="B67" s="10" t="s">
        <v>40</v>
      </c>
      <c r="C67" s="10">
        <v>2020</v>
      </c>
      <c r="D67" s="57">
        <v>2546225</v>
      </c>
      <c r="E67" s="57">
        <v>4477686</v>
      </c>
      <c r="F67" s="27">
        <f t="shared" si="0"/>
        <v>-1931461</v>
      </c>
      <c r="H67" s="36" t="s">
        <v>32</v>
      </c>
      <c r="I67" s="36" t="s">
        <v>46</v>
      </c>
      <c r="J67" s="36" t="s">
        <v>47</v>
      </c>
    </row>
    <row r="68" spans="2:11" ht="14.25" customHeight="1">
      <c r="B68" s="10" t="s">
        <v>40</v>
      </c>
      <c r="C68" s="10">
        <v>2020</v>
      </c>
      <c r="D68" s="57">
        <v>1177934</v>
      </c>
      <c r="E68" s="57">
        <v>5408430</v>
      </c>
      <c r="F68" s="27">
        <f t="shared" si="0"/>
        <v>-4230496</v>
      </c>
      <c r="H68" s="36" t="s">
        <v>37</v>
      </c>
      <c r="I68" s="36">
        <f>SUMIFS(D$40:D$74, B$40:B$74, H68, D$40:D$74, "&lt;1500000")</f>
        <v>1356199</v>
      </c>
      <c r="J68">
        <f>SUMIFS(E$40:E$74,B$40:B$74,H68, E$40:E$74, "&gt;1500000")</f>
        <v>37375332</v>
      </c>
    </row>
    <row r="69" spans="2:11" ht="14.25" customHeight="1">
      <c r="B69" s="10" t="s">
        <v>37</v>
      </c>
      <c r="C69" s="10">
        <v>2020</v>
      </c>
      <c r="D69" s="57">
        <v>4506444</v>
      </c>
      <c r="E69" s="57">
        <v>814383</v>
      </c>
      <c r="F69" s="27">
        <f t="shared" si="0"/>
        <v>3692061</v>
      </c>
      <c r="H69" s="36" t="s">
        <v>38</v>
      </c>
      <c r="I69" s="36">
        <f t="shared" ref="I69:I72" si="1">SUMIFS(D$40:D$74, B$40:B$74, H69, D$40:D$74, "&lt;1500000")</f>
        <v>1323022</v>
      </c>
      <c r="J69">
        <f t="shared" ref="J69:J72" si="2">SUMIFS(E$40:E$74,B$40:B$74,H69, E$40:E$74, "&gt;1500000")</f>
        <v>42943497</v>
      </c>
    </row>
    <row r="70" spans="2:11" ht="14.25" customHeight="1">
      <c r="B70" s="10" t="s">
        <v>38</v>
      </c>
      <c r="C70" s="10">
        <v>2020</v>
      </c>
      <c r="D70" s="57">
        <v>3222098</v>
      </c>
      <c r="E70" s="57">
        <v>1551701</v>
      </c>
      <c r="F70" s="27">
        <f t="shared" si="0"/>
        <v>1670397</v>
      </c>
      <c r="H70" s="36" t="s">
        <v>39</v>
      </c>
      <c r="I70" s="36">
        <f t="shared" si="1"/>
        <v>2541915</v>
      </c>
      <c r="J70">
        <f t="shared" si="2"/>
        <v>34131016</v>
      </c>
    </row>
    <row r="71" spans="2:11" ht="14.25" customHeight="1">
      <c r="B71" s="10" t="s">
        <v>39</v>
      </c>
      <c r="C71" s="10">
        <v>2020</v>
      </c>
      <c r="D71" s="57">
        <v>2816718</v>
      </c>
      <c r="E71" s="57">
        <v>7767171</v>
      </c>
      <c r="F71" s="27">
        <f t="shared" si="0"/>
        <v>-4950453</v>
      </c>
      <c r="H71" s="36" t="s">
        <v>40</v>
      </c>
      <c r="I71" s="36">
        <f t="shared" si="1"/>
        <v>4609725</v>
      </c>
      <c r="J71">
        <f t="shared" si="2"/>
        <v>54825340</v>
      </c>
    </row>
    <row r="72" spans="2:11" ht="14.25" customHeight="1">
      <c r="B72" s="10" t="s">
        <v>40</v>
      </c>
      <c r="C72" s="10">
        <v>2020</v>
      </c>
      <c r="D72" s="57">
        <v>3303287</v>
      </c>
      <c r="E72" s="57">
        <v>7960122</v>
      </c>
      <c r="F72" s="27">
        <f t="shared" si="0"/>
        <v>-4656835</v>
      </c>
      <c r="H72" s="36" t="s">
        <v>42</v>
      </c>
      <c r="I72" s="36">
        <f t="shared" si="1"/>
        <v>3278043</v>
      </c>
      <c r="J72">
        <f t="shared" si="2"/>
        <v>19532036</v>
      </c>
    </row>
    <row r="73" spans="2:11" ht="14.25" customHeight="1">
      <c r="B73" s="10" t="s">
        <v>42</v>
      </c>
      <c r="C73" s="10">
        <v>2020</v>
      </c>
      <c r="D73" s="57">
        <v>598828</v>
      </c>
      <c r="E73" s="57">
        <v>2753543</v>
      </c>
      <c r="F73" s="27">
        <f t="shared" si="0"/>
        <v>-2154715</v>
      </c>
    </row>
    <row r="74" spans="2:11" ht="14.25" customHeight="1">
      <c r="B74" s="10" t="s">
        <v>38</v>
      </c>
      <c r="C74" s="10">
        <v>2020</v>
      </c>
      <c r="D74" s="57">
        <v>1323022</v>
      </c>
      <c r="E74" s="57">
        <v>5861991</v>
      </c>
      <c r="F74" s="27">
        <f t="shared" si="0"/>
        <v>-4538969</v>
      </c>
    </row>
    <row r="75" spans="2:11" ht="14.25" customHeight="1">
      <c r="F75" s="37">
        <f>D75-E75</f>
        <v>0</v>
      </c>
    </row>
    <row r="76" spans="2:11" ht="14.25" customHeight="1"/>
    <row r="77" spans="2:11" ht="14.25" customHeight="1"/>
    <row r="78" spans="2:11" ht="14.25" customHeight="1"/>
    <row r="79" spans="2:11" ht="14.25" customHeight="1"/>
    <row r="80" spans="2:1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3:D6"/>
    <mergeCell ref="E22:G22"/>
    <mergeCell ref="H22:I22"/>
    <mergeCell ref="B36:E3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99"/>
  <sheetViews>
    <sheetView showGridLines="0" topLeftCell="N1" workbookViewId="0">
      <pane ySplit="1" topLeftCell="A2" activePane="bottomLeft" state="frozen"/>
      <selection pane="bottomLeft" activeCell="O1" sqref="O1:S1"/>
    </sheetView>
  </sheetViews>
  <sheetFormatPr defaultColWidth="14.42578125" defaultRowHeight="15" customHeight="1"/>
  <cols>
    <col min="1" max="1" width="5.42578125" customWidth="1"/>
    <col min="2" max="5" width="8.7109375" customWidth="1"/>
    <col min="6" max="6" width="11.5703125" customWidth="1"/>
    <col min="7" max="12" width="8.7109375" customWidth="1"/>
    <col min="13" max="13" width="4.42578125" customWidth="1"/>
    <col min="14" max="14" width="2.5703125" customWidth="1"/>
    <col min="15" max="15" width="11.85546875" customWidth="1"/>
    <col min="17" max="17" width="27.7109375" customWidth="1"/>
    <col min="18" max="18" width="27.140625" customWidth="1"/>
  </cols>
  <sheetData>
    <row r="1" spans="2:19" ht="24.75" customHeight="1">
      <c r="B1" s="81" t="s">
        <v>48</v>
      </c>
      <c r="C1" s="71"/>
      <c r="D1" s="71"/>
      <c r="E1" s="72"/>
      <c r="H1" s="8" t="s">
        <v>49</v>
      </c>
      <c r="I1" s="8"/>
      <c r="J1" s="8"/>
      <c r="K1" s="8"/>
      <c r="L1" s="8"/>
      <c r="O1" s="83" t="s">
        <v>442</v>
      </c>
      <c r="P1" s="84"/>
      <c r="Q1" s="84"/>
      <c r="R1" s="84"/>
      <c r="S1" s="85"/>
    </row>
    <row r="2" spans="2:19" ht="15" customHeight="1">
      <c r="B2" s="82" t="s">
        <v>50</v>
      </c>
      <c r="C2" s="60"/>
      <c r="D2" s="60"/>
      <c r="E2" s="69"/>
      <c r="H2" s="51" t="s">
        <v>51</v>
      </c>
      <c r="I2" s="8" t="s">
        <v>52</v>
      </c>
      <c r="J2" s="8" t="s">
        <v>53</v>
      </c>
      <c r="K2" s="8" t="s">
        <v>54</v>
      </c>
      <c r="L2" s="8" t="s">
        <v>55</v>
      </c>
      <c r="O2" s="52" t="s">
        <v>51</v>
      </c>
      <c r="P2" s="53" t="s">
        <v>52</v>
      </c>
      <c r="Q2" s="53" t="s">
        <v>53</v>
      </c>
      <c r="R2" s="53" t="s">
        <v>54</v>
      </c>
      <c r="S2" s="53" t="s">
        <v>55</v>
      </c>
    </row>
    <row r="3" spans="2:19" ht="14.25" customHeight="1">
      <c r="B3" s="73"/>
      <c r="C3" s="60"/>
      <c r="D3" s="60"/>
      <c r="E3" s="69"/>
      <c r="H3" s="8" t="s">
        <v>56</v>
      </c>
      <c r="I3" s="8" t="s">
        <v>57</v>
      </c>
      <c r="J3" s="8" t="s">
        <v>58</v>
      </c>
      <c r="K3" s="8" t="s">
        <v>59</v>
      </c>
      <c r="L3" s="8">
        <v>3727347</v>
      </c>
      <c r="O3" s="53" t="s">
        <v>56</v>
      </c>
      <c r="P3" s="53" t="s">
        <v>57</v>
      </c>
      <c r="Q3" s="53" t="s">
        <v>58</v>
      </c>
      <c r="R3" s="53" t="s">
        <v>59</v>
      </c>
      <c r="S3" s="53">
        <v>3727347</v>
      </c>
    </row>
    <row r="4" spans="2:19" ht="14.25" customHeight="1">
      <c r="B4" s="73"/>
      <c r="C4" s="60"/>
      <c r="D4" s="60"/>
      <c r="E4" s="69"/>
      <c r="H4" s="8" t="s">
        <v>60</v>
      </c>
      <c r="I4" s="8" t="s">
        <v>61</v>
      </c>
      <c r="J4" s="8" t="s">
        <v>62</v>
      </c>
      <c r="K4" s="8" t="s">
        <v>63</v>
      </c>
      <c r="L4" s="8">
        <v>4248436</v>
      </c>
      <c r="O4" s="53" t="s">
        <v>60</v>
      </c>
      <c r="P4" s="53" t="s">
        <v>61</v>
      </c>
      <c r="Q4" s="53" t="s">
        <v>62</v>
      </c>
      <c r="R4" s="53" t="s">
        <v>63</v>
      </c>
      <c r="S4" s="53">
        <v>4248436</v>
      </c>
    </row>
    <row r="5" spans="2:19" ht="14.25" customHeight="1">
      <c r="B5" s="73"/>
      <c r="C5" s="60"/>
      <c r="D5" s="60"/>
      <c r="E5" s="69"/>
      <c r="H5" s="8" t="s">
        <v>64</v>
      </c>
      <c r="I5" s="8" t="s">
        <v>65</v>
      </c>
      <c r="J5" s="8" t="s">
        <v>66</v>
      </c>
      <c r="K5" s="8" t="s">
        <v>67</v>
      </c>
      <c r="L5" s="8">
        <v>5482177</v>
      </c>
      <c r="O5" s="53" t="s">
        <v>64</v>
      </c>
      <c r="P5" s="53" t="s">
        <v>65</v>
      </c>
      <c r="Q5" s="53" t="s">
        <v>66</v>
      </c>
      <c r="R5" s="53" t="s">
        <v>67</v>
      </c>
      <c r="S5" s="53">
        <v>5482177</v>
      </c>
    </row>
    <row r="6" spans="2:19" ht="14.25" customHeight="1">
      <c r="B6" s="73"/>
      <c r="C6" s="60"/>
      <c r="D6" s="60"/>
      <c r="E6" s="69"/>
      <c r="H6" s="8" t="s">
        <v>68</v>
      </c>
      <c r="I6" s="8" t="s">
        <v>69</v>
      </c>
      <c r="J6" s="8" t="s">
        <v>70</v>
      </c>
      <c r="K6" s="8" t="s">
        <v>71</v>
      </c>
      <c r="L6" s="8">
        <v>5527809</v>
      </c>
      <c r="O6" s="53" t="s">
        <v>68</v>
      </c>
      <c r="P6" s="53" t="s">
        <v>69</v>
      </c>
      <c r="Q6" s="53" t="s">
        <v>70</v>
      </c>
      <c r="R6" s="53" t="s">
        <v>71</v>
      </c>
      <c r="S6" s="53">
        <v>5527809</v>
      </c>
    </row>
    <row r="7" spans="2:19" ht="14.25" customHeight="1">
      <c r="B7" s="73"/>
      <c r="C7" s="60"/>
      <c r="D7" s="60"/>
      <c r="E7" s="69"/>
      <c r="H7" s="8" t="s">
        <v>72</v>
      </c>
      <c r="I7" s="8" t="s">
        <v>72</v>
      </c>
      <c r="J7" s="8" t="s">
        <v>73</v>
      </c>
      <c r="K7" s="8" t="s">
        <v>74</v>
      </c>
      <c r="L7" s="8">
        <v>6537314</v>
      </c>
      <c r="O7" s="53" t="s">
        <v>72</v>
      </c>
      <c r="P7" s="53" t="s">
        <v>72</v>
      </c>
      <c r="Q7" s="53" t="s">
        <v>73</v>
      </c>
      <c r="R7" s="53" t="s">
        <v>74</v>
      </c>
      <c r="S7" s="53">
        <v>6537314</v>
      </c>
    </row>
    <row r="8" spans="2:19" ht="14.25" customHeight="1">
      <c r="B8" s="73"/>
      <c r="C8" s="60"/>
      <c r="D8" s="60"/>
      <c r="E8" s="69"/>
      <c r="H8" s="8" t="s">
        <v>75</v>
      </c>
      <c r="I8" s="8" t="s">
        <v>76</v>
      </c>
      <c r="J8" s="8" t="s">
        <v>77</v>
      </c>
      <c r="K8" s="8" t="s">
        <v>78</v>
      </c>
      <c r="L8" s="8">
        <v>2277961</v>
      </c>
      <c r="O8" s="53" t="s">
        <v>75</v>
      </c>
      <c r="P8" s="53" t="s">
        <v>76</v>
      </c>
      <c r="Q8" s="53" t="s">
        <v>77</v>
      </c>
      <c r="R8" s="53" t="s">
        <v>78</v>
      </c>
      <c r="S8" s="53">
        <v>2277961</v>
      </c>
    </row>
    <row r="9" spans="2:19" ht="14.25" customHeight="1">
      <c r="B9" s="73"/>
      <c r="C9" s="60"/>
      <c r="D9" s="60"/>
      <c r="E9" s="69"/>
      <c r="H9" s="8" t="s">
        <v>79</v>
      </c>
      <c r="I9" s="8" t="s">
        <v>80</v>
      </c>
      <c r="J9" s="8" t="s">
        <v>81</v>
      </c>
      <c r="K9" s="8" t="s">
        <v>82</v>
      </c>
      <c r="L9" s="8">
        <v>5741815</v>
      </c>
      <c r="O9" s="53" t="s">
        <v>79</v>
      </c>
      <c r="P9" s="53" t="s">
        <v>80</v>
      </c>
      <c r="Q9" s="53" t="s">
        <v>81</v>
      </c>
      <c r="R9" s="53" t="s">
        <v>82</v>
      </c>
      <c r="S9" s="53">
        <v>5741815</v>
      </c>
    </row>
    <row r="10" spans="2:19" ht="14.25" customHeight="1">
      <c r="B10" s="73"/>
      <c r="C10" s="60"/>
      <c r="D10" s="60"/>
      <c r="E10" s="69"/>
      <c r="H10" s="8" t="s">
        <v>83</v>
      </c>
      <c r="I10" s="8" t="s">
        <v>84</v>
      </c>
      <c r="J10" s="8" t="s">
        <v>85</v>
      </c>
      <c r="K10" s="8" t="s">
        <v>86</v>
      </c>
      <c r="L10" s="8">
        <v>5860183</v>
      </c>
      <c r="O10" s="53" t="s">
        <v>83</v>
      </c>
      <c r="P10" s="53" t="s">
        <v>84</v>
      </c>
      <c r="Q10" s="53" t="s">
        <v>85</v>
      </c>
      <c r="R10" s="53" t="s">
        <v>86</v>
      </c>
      <c r="S10" s="53">
        <v>5860183</v>
      </c>
    </row>
    <row r="11" spans="2:19" ht="14.25" customHeight="1">
      <c r="B11" s="73"/>
      <c r="C11" s="60"/>
      <c r="D11" s="60"/>
      <c r="E11" s="69"/>
      <c r="H11" s="8" t="s">
        <v>87</v>
      </c>
      <c r="I11" s="8" t="s">
        <v>88</v>
      </c>
      <c r="J11" s="8" t="s">
        <v>89</v>
      </c>
      <c r="K11" s="8" t="s">
        <v>90</v>
      </c>
      <c r="L11" s="8">
        <v>3866269</v>
      </c>
      <c r="O11" s="53" t="s">
        <v>87</v>
      </c>
      <c r="P11" s="53" t="s">
        <v>88</v>
      </c>
      <c r="Q11" s="53" t="s">
        <v>89</v>
      </c>
      <c r="R11" s="53" t="s">
        <v>90</v>
      </c>
      <c r="S11" s="53">
        <v>3866269</v>
      </c>
    </row>
    <row r="12" spans="2:19" ht="14.25" customHeight="1">
      <c r="B12" s="73"/>
      <c r="C12" s="60"/>
      <c r="D12" s="60"/>
      <c r="E12" s="69"/>
      <c r="H12" s="8" t="s">
        <v>91</v>
      </c>
      <c r="I12" s="8" t="s">
        <v>92</v>
      </c>
      <c r="J12" s="8" t="s">
        <v>93</v>
      </c>
      <c r="K12" s="8" t="s">
        <v>94</v>
      </c>
      <c r="L12" s="8">
        <v>5663362</v>
      </c>
      <c r="O12" s="53" t="s">
        <v>91</v>
      </c>
      <c r="P12" s="53" t="s">
        <v>92</v>
      </c>
      <c r="Q12" s="53" t="s">
        <v>93</v>
      </c>
      <c r="R12" s="53" t="s">
        <v>94</v>
      </c>
      <c r="S12" s="53">
        <v>5663362</v>
      </c>
    </row>
    <row r="13" spans="2:19" ht="14.25" customHeight="1">
      <c r="B13" s="73"/>
      <c r="C13" s="60"/>
      <c r="D13" s="60"/>
      <c r="E13" s="69"/>
      <c r="H13" s="8" t="s">
        <v>95</v>
      </c>
      <c r="I13" s="8" t="s">
        <v>96</v>
      </c>
      <c r="J13" s="8" t="s">
        <v>97</v>
      </c>
      <c r="K13" s="8" t="s">
        <v>98</v>
      </c>
      <c r="L13" s="8">
        <v>2880383</v>
      </c>
      <c r="O13" s="53" t="s">
        <v>95</v>
      </c>
      <c r="P13" s="53" t="s">
        <v>96</v>
      </c>
      <c r="Q13" s="53" t="s">
        <v>97</v>
      </c>
      <c r="R13" s="53" t="s">
        <v>98</v>
      </c>
      <c r="S13" s="53">
        <v>2880383</v>
      </c>
    </row>
    <row r="14" spans="2:19" ht="14.25" customHeight="1">
      <c r="B14" s="73"/>
      <c r="C14" s="60"/>
      <c r="D14" s="60"/>
      <c r="E14" s="69"/>
      <c r="H14" s="8" t="s">
        <v>99</v>
      </c>
      <c r="I14" s="8" t="s">
        <v>100</v>
      </c>
      <c r="J14" s="8" t="s">
        <v>101</v>
      </c>
      <c r="K14" s="8" t="s">
        <v>102</v>
      </c>
      <c r="L14" s="8">
        <v>4235595</v>
      </c>
      <c r="O14" s="53" t="s">
        <v>99</v>
      </c>
      <c r="P14" s="53" t="s">
        <v>100</v>
      </c>
      <c r="Q14" s="53" t="s">
        <v>101</v>
      </c>
      <c r="R14" s="53" t="s">
        <v>102</v>
      </c>
      <c r="S14" s="53">
        <v>4235595</v>
      </c>
    </row>
    <row r="15" spans="2:19" ht="14.25" customHeight="1">
      <c r="B15" s="73"/>
      <c r="C15" s="60"/>
      <c r="D15" s="60"/>
      <c r="E15" s="69"/>
      <c r="H15" s="8" t="s">
        <v>103</v>
      </c>
      <c r="I15" s="8" t="s">
        <v>104</v>
      </c>
      <c r="J15" s="8" t="s">
        <v>105</v>
      </c>
      <c r="K15" s="8" t="s">
        <v>106</v>
      </c>
      <c r="L15" s="8">
        <v>3270798</v>
      </c>
      <c r="O15" s="53" t="s">
        <v>103</v>
      </c>
      <c r="P15" s="53" t="s">
        <v>104</v>
      </c>
      <c r="Q15" s="53" t="s">
        <v>105</v>
      </c>
      <c r="R15" s="53" t="s">
        <v>106</v>
      </c>
      <c r="S15" s="53">
        <v>3270798</v>
      </c>
    </row>
    <row r="16" spans="2:19" ht="14.25" customHeight="1" thickBot="1">
      <c r="B16" s="74"/>
      <c r="C16" s="62"/>
      <c r="D16" s="62"/>
      <c r="E16" s="75"/>
      <c r="H16" s="8" t="s">
        <v>107</v>
      </c>
      <c r="I16" s="8" t="s">
        <v>107</v>
      </c>
      <c r="J16" s="8" t="s">
        <v>108</v>
      </c>
      <c r="K16" s="8" t="s">
        <v>109</v>
      </c>
      <c r="L16" s="8">
        <v>4411119</v>
      </c>
      <c r="O16" s="53" t="s">
        <v>107</v>
      </c>
      <c r="P16" s="53" t="s">
        <v>107</v>
      </c>
      <c r="Q16" s="53" t="s">
        <v>108</v>
      </c>
      <c r="R16" s="53" t="s">
        <v>109</v>
      </c>
      <c r="S16" s="53">
        <v>4411119</v>
      </c>
    </row>
    <row r="17" spans="8:19" ht="14.25" customHeight="1">
      <c r="H17" s="8" t="s">
        <v>110</v>
      </c>
      <c r="I17" s="8" t="s">
        <v>110</v>
      </c>
      <c r="J17" s="8" t="s">
        <v>111</v>
      </c>
      <c r="K17" s="8" t="s">
        <v>112</v>
      </c>
      <c r="L17" s="8">
        <v>3256962</v>
      </c>
      <c r="O17" s="53" t="s">
        <v>110</v>
      </c>
      <c r="P17" s="53" t="s">
        <v>110</v>
      </c>
      <c r="Q17" s="53" t="s">
        <v>111</v>
      </c>
      <c r="R17" s="53" t="s">
        <v>112</v>
      </c>
      <c r="S17" s="53">
        <v>3256962</v>
      </c>
    </row>
    <row r="18" spans="8:19" ht="14.25" customHeight="1">
      <c r="H18" s="8" t="s">
        <v>113</v>
      </c>
      <c r="I18" s="8" t="s">
        <v>114</v>
      </c>
      <c r="J18" s="8" t="s">
        <v>115</v>
      </c>
      <c r="K18" s="8" t="s">
        <v>116</v>
      </c>
      <c r="L18" s="8">
        <v>5408756</v>
      </c>
      <c r="O18" s="53" t="s">
        <v>113</v>
      </c>
      <c r="P18" s="53" t="s">
        <v>114</v>
      </c>
      <c r="Q18" s="53" t="s">
        <v>115</v>
      </c>
      <c r="R18" s="53" t="s">
        <v>116</v>
      </c>
      <c r="S18" s="53">
        <v>5408756</v>
      </c>
    </row>
    <row r="19" spans="8:19" ht="14.25" customHeight="1">
      <c r="H19" s="8" t="s">
        <v>117</v>
      </c>
      <c r="I19" s="8" t="s">
        <v>118</v>
      </c>
      <c r="J19" s="8" t="s">
        <v>119</v>
      </c>
      <c r="K19" s="8" t="s">
        <v>120</v>
      </c>
      <c r="L19" s="8">
        <v>5828163</v>
      </c>
      <c r="O19" s="53" t="s">
        <v>117</v>
      </c>
      <c r="P19" s="53" t="s">
        <v>118</v>
      </c>
      <c r="Q19" s="53" t="s">
        <v>119</v>
      </c>
      <c r="R19" s="53" t="s">
        <v>120</v>
      </c>
      <c r="S19" s="53">
        <v>5828163</v>
      </c>
    </row>
    <row r="20" spans="8:19" ht="14.25" customHeight="1">
      <c r="H20" s="8" t="s">
        <v>121</v>
      </c>
      <c r="I20" s="8" t="s">
        <v>121</v>
      </c>
      <c r="J20" s="8" t="s">
        <v>122</v>
      </c>
      <c r="K20" s="8" t="s">
        <v>123</v>
      </c>
      <c r="L20" s="8">
        <v>8252366</v>
      </c>
      <c r="O20" s="53" t="s">
        <v>121</v>
      </c>
      <c r="P20" s="53" t="s">
        <v>121</v>
      </c>
      <c r="Q20" s="53" t="s">
        <v>122</v>
      </c>
      <c r="R20" s="53" t="s">
        <v>123</v>
      </c>
      <c r="S20" s="53">
        <v>8252366</v>
      </c>
    </row>
    <row r="21" spans="8:19" ht="14.25" customHeight="1">
      <c r="H21" s="8" t="s">
        <v>124</v>
      </c>
      <c r="I21" s="8" t="s">
        <v>124</v>
      </c>
      <c r="J21" s="8" t="s">
        <v>125</v>
      </c>
      <c r="K21" s="8" t="s">
        <v>126</v>
      </c>
      <c r="L21" s="8">
        <v>10076892</v>
      </c>
      <c r="O21" s="53" t="s">
        <v>124</v>
      </c>
      <c r="P21" s="53" t="s">
        <v>124</v>
      </c>
      <c r="Q21" s="53" t="s">
        <v>125</v>
      </c>
      <c r="R21" s="53" t="s">
        <v>126</v>
      </c>
      <c r="S21" s="53">
        <v>10076892</v>
      </c>
    </row>
    <row r="22" spans="8:19" ht="14.25" customHeight="1">
      <c r="H22" s="8" t="s">
        <v>127</v>
      </c>
      <c r="I22" s="8" t="s">
        <v>127</v>
      </c>
      <c r="J22" s="8" t="s">
        <v>128</v>
      </c>
      <c r="K22" s="8" t="s">
        <v>129</v>
      </c>
      <c r="L22" s="8">
        <v>7831319</v>
      </c>
      <c r="O22" s="53" t="s">
        <v>127</v>
      </c>
      <c r="P22" s="53" t="s">
        <v>127</v>
      </c>
      <c r="Q22" s="53" t="s">
        <v>128</v>
      </c>
      <c r="R22" s="53" t="s">
        <v>129</v>
      </c>
      <c r="S22" s="53">
        <v>7831319</v>
      </c>
    </row>
    <row r="23" spans="8:19" ht="14.25" customHeight="1">
      <c r="H23" s="8" t="s">
        <v>130</v>
      </c>
      <c r="I23" s="8" t="s">
        <v>131</v>
      </c>
      <c r="J23" s="8" t="s">
        <v>132</v>
      </c>
      <c r="K23" s="8" t="s">
        <v>133</v>
      </c>
      <c r="L23" s="8">
        <v>4440050</v>
      </c>
      <c r="O23" s="53" t="s">
        <v>130</v>
      </c>
      <c r="P23" s="53" t="s">
        <v>131</v>
      </c>
      <c r="Q23" s="53" t="s">
        <v>132</v>
      </c>
      <c r="R23" s="53" t="s">
        <v>133</v>
      </c>
      <c r="S23" s="53">
        <v>4440050</v>
      </c>
    </row>
    <row r="24" spans="8:19" ht="14.25" customHeight="1">
      <c r="H24" s="8" t="s">
        <v>134</v>
      </c>
      <c r="I24" s="8" t="s">
        <v>135</v>
      </c>
      <c r="J24" s="8" t="s">
        <v>136</v>
      </c>
      <c r="K24" s="8" t="s">
        <v>137</v>
      </c>
      <c r="L24" s="8">
        <v>4473490</v>
      </c>
      <c r="O24" s="53" t="s">
        <v>134</v>
      </c>
      <c r="P24" s="53" t="s">
        <v>135</v>
      </c>
      <c r="Q24" s="53" t="s">
        <v>136</v>
      </c>
      <c r="R24" s="53" t="s">
        <v>137</v>
      </c>
      <c r="S24" s="53">
        <v>4473490</v>
      </c>
    </row>
    <row r="25" spans="8:19" ht="14.25" customHeight="1">
      <c r="H25" s="8" t="s">
        <v>138</v>
      </c>
      <c r="I25" s="8" t="s">
        <v>139</v>
      </c>
      <c r="J25" s="8" t="s">
        <v>140</v>
      </c>
      <c r="K25" s="8" t="s">
        <v>141</v>
      </c>
      <c r="L25" s="8">
        <v>3192893</v>
      </c>
      <c r="O25" s="53" t="s">
        <v>138</v>
      </c>
      <c r="P25" s="53" t="s">
        <v>139</v>
      </c>
      <c r="Q25" s="53" t="s">
        <v>140</v>
      </c>
      <c r="R25" s="53" t="s">
        <v>141</v>
      </c>
      <c r="S25" s="53">
        <v>3192893</v>
      </c>
    </row>
    <row r="26" spans="8:19" ht="14.25" customHeight="1">
      <c r="H26" s="8" t="s">
        <v>142</v>
      </c>
      <c r="I26" s="8" t="s">
        <v>143</v>
      </c>
      <c r="J26" s="8" t="s">
        <v>144</v>
      </c>
      <c r="K26" s="8" t="s">
        <v>145</v>
      </c>
      <c r="L26" s="8">
        <v>15550598</v>
      </c>
      <c r="O26" s="53" t="s">
        <v>142</v>
      </c>
      <c r="P26" s="53" t="s">
        <v>143</v>
      </c>
      <c r="Q26" s="53" t="s">
        <v>144</v>
      </c>
      <c r="R26" s="53" t="s">
        <v>145</v>
      </c>
      <c r="S26" s="53">
        <v>15550598</v>
      </c>
    </row>
    <row r="27" spans="8:19" ht="14.25" customHeight="1">
      <c r="H27" s="8" t="s">
        <v>146</v>
      </c>
      <c r="I27" s="8" t="s">
        <v>147</v>
      </c>
      <c r="J27" s="8" t="s">
        <v>148</v>
      </c>
      <c r="K27" s="8" t="s">
        <v>149</v>
      </c>
      <c r="L27" s="8">
        <v>2523395</v>
      </c>
      <c r="O27" s="53" t="s">
        <v>146</v>
      </c>
      <c r="P27" s="53" t="s">
        <v>147</v>
      </c>
      <c r="Q27" s="53" t="s">
        <v>148</v>
      </c>
      <c r="R27" s="53" t="s">
        <v>149</v>
      </c>
      <c r="S27" s="53">
        <v>2523395</v>
      </c>
    </row>
    <row r="28" spans="8:19" ht="14.25" customHeight="1">
      <c r="H28" s="8" t="s">
        <v>150</v>
      </c>
      <c r="I28" s="8" t="s">
        <v>151</v>
      </c>
      <c r="J28" s="8" t="s">
        <v>152</v>
      </c>
      <c r="K28" s="8" t="s">
        <v>153</v>
      </c>
      <c r="L28" s="8">
        <v>5556247</v>
      </c>
      <c r="O28" s="53" t="s">
        <v>150</v>
      </c>
      <c r="P28" s="53" t="s">
        <v>151</v>
      </c>
      <c r="Q28" s="53" t="s">
        <v>152</v>
      </c>
      <c r="R28" s="53" t="s">
        <v>153</v>
      </c>
      <c r="S28" s="53">
        <v>5556247</v>
      </c>
    </row>
    <row r="29" spans="8:19" ht="14.25" customHeight="1">
      <c r="H29" s="8" t="s">
        <v>154</v>
      </c>
      <c r="I29" s="8" t="s">
        <v>155</v>
      </c>
      <c r="J29" s="8" t="s">
        <v>156</v>
      </c>
      <c r="K29" s="8" t="s">
        <v>157</v>
      </c>
      <c r="L29" s="8">
        <v>5217716</v>
      </c>
      <c r="O29" s="53" t="s">
        <v>154</v>
      </c>
      <c r="P29" s="53" t="s">
        <v>155</v>
      </c>
      <c r="Q29" s="53" t="s">
        <v>156</v>
      </c>
      <c r="R29" s="53" t="s">
        <v>157</v>
      </c>
      <c r="S29" s="53">
        <v>5217716</v>
      </c>
    </row>
    <row r="30" spans="8:19" ht="14.25" customHeight="1">
      <c r="H30" s="8" t="s">
        <v>158</v>
      </c>
      <c r="I30" s="8" t="s">
        <v>159</v>
      </c>
      <c r="J30" s="8" t="s">
        <v>160</v>
      </c>
      <c r="K30" s="8" t="s">
        <v>161</v>
      </c>
      <c r="L30" s="8">
        <v>4671695</v>
      </c>
      <c r="O30" s="53" t="s">
        <v>158</v>
      </c>
      <c r="P30" s="53" t="s">
        <v>159</v>
      </c>
      <c r="Q30" s="53" t="s">
        <v>160</v>
      </c>
      <c r="R30" s="53" t="s">
        <v>161</v>
      </c>
      <c r="S30" s="53">
        <v>4671695</v>
      </c>
    </row>
    <row r="31" spans="8:19" ht="14.25" customHeight="1">
      <c r="H31" s="8" t="s">
        <v>162</v>
      </c>
      <c r="I31" s="8" t="s">
        <v>163</v>
      </c>
      <c r="J31" s="8" t="s">
        <v>164</v>
      </c>
      <c r="K31" s="8" t="s">
        <v>165</v>
      </c>
      <c r="L31" s="8">
        <v>4705589</v>
      </c>
      <c r="O31" s="53" t="s">
        <v>162</v>
      </c>
      <c r="P31" s="53" t="s">
        <v>163</v>
      </c>
      <c r="Q31" s="53" t="s">
        <v>164</v>
      </c>
      <c r="R31" s="53" t="s">
        <v>165</v>
      </c>
      <c r="S31" s="53">
        <v>4705589</v>
      </c>
    </row>
    <row r="32" spans="8:19" ht="14.25" customHeight="1">
      <c r="H32" s="8" t="s">
        <v>166</v>
      </c>
      <c r="I32" s="8" t="s">
        <v>167</v>
      </c>
      <c r="J32" s="8" t="s">
        <v>168</v>
      </c>
      <c r="K32" s="8" t="s">
        <v>169</v>
      </c>
      <c r="L32" s="8">
        <v>7840864</v>
      </c>
      <c r="O32" s="53" t="s">
        <v>166</v>
      </c>
      <c r="P32" s="53" t="s">
        <v>167</v>
      </c>
      <c r="Q32" s="53" t="s">
        <v>168</v>
      </c>
      <c r="R32" s="53" t="s">
        <v>169</v>
      </c>
      <c r="S32" s="53">
        <v>7840864</v>
      </c>
    </row>
    <row r="33" spans="8:19" ht="14.25" customHeight="1">
      <c r="H33" s="8" t="s">
        <v>170</v>
      </c>
      <c r="I33" s="8" t="s">
        <v>171</v>
      </c>
      <c r="J33" s="8" t="s">
        <v>172</v>
      </c>
      <c r="K33" s="8" t="s">
        <v>173</v>
      </c>
      <c r="L33" s="8">
        <v>4200442</v>
      </c>
      <c r="O33" s="53" t="s">
        <v>170</v>
      </c>
      <c r="P33" s="53" t="s">
        <v>171</v>
      </c>
      <c r="Q33" s="53" t="s">
        <v>172</v>
      </c>
      <c r="R33" s="53" t="s">
        <v>173</v>
      </c>
      <c r="S33" s="53">
        <v>4200442</v>
      </c>
    </row>
    <row r="34" spans="8:19" ht="14.25" customHeight="1">
      <c r="H34" s="8" t="s">
        <v>174</v>
      </c>
      <c r="I34" s="8" t="s">
        <v>175</v>
      </c>
      <c r="J34" s="8" t="s">
        <v>176</v>
      </c>
      <c r="K34" s="8" t="s">
        <v>177</v>
      </c>
      <c r="L34" s="8">
        <v>7303924</v>
      </c>
      <c r="O34" s="53" t="s">
        <v>174</v>
      </c>
      <c r="P34" s="53" t="s">
        <v>175</v>
      </c>
      <c r="Q34" s="53" t="s">
        <v>176</v>
      </c>
      <c r="R34" s="53" t="s">
        <v>177</v>
      </c>
      <c r="S34" s="53">
        <v>7303924</v>
      </c>
    </row>
    <row r="35" spans="8:19" ht="14.25" customHeight="1">
      <c r="H35" s="8" t="s">
        <v>178</v>
      </c>
      <c r="I35" s="8" t="s">
        <v>178</v>
      </c>
      <c r="J35" s="8" t="s">
        <v>179</v>
      </c>
      <c r="K35" s="8" t="s">
        <v>180</v>
      </c>
      <c r="L35" s="8">
        <v>4998090</v>
      </c>
      <c r="O35" s="53" t="s">
        <v>178</v>
      </c>
      <c r="P35" s="53" t="s">
        <v>178</v>
      </c>
      <c r="Q35" s="53" t="s">
        <v>179</v>
      </c>
      <c r="R35" s="53" t="s">
        <v>180</v>
      </c>
      <c r="S35" s="53">
        <v>4998090</v>
      </c>
    </row>
    <row r="36" spans="8:19" ht="14.25" customHeight="1">
      <c r="H36" s="8" t="s">
        <v>181</v>
      </c>
      <c r="I36" s="8" t="s">
        <v>182</v>
      </c>
      <c r="J36" s="8" t="s">
        <v>183</v>
      </c>
      <c r="K36" s="8" t="s">
        <v>184</v>
      </c>
      <c r="L36" s="8">
        <v>3066834</v>
      </c>
      <c r="O36" s="53" t="s">
        <v>181</v>
      </c>
      <c r="P36" s="53" t="s">
        <v>182</v>
      </c>
      <c r="Q36" s="53" t="s">
        <v>183</v>
      </c>
      <c r="R36" s="53" t="s">
        <v>184</v>
      </c>
      <c r="S36" s="53">
        <v>3066834</v>
      </c>
    </row>
    <row r="37" spans="8:19" ht="14.25" customHeight="1">
      <c r="H37" s="8" t="s">
        <v>185</v>
      </c>
      <c r="I37" s="8" t="s">
        <v>186</v>
      </c>
      <c r="J37" s="8" t="s">
        <v>187</v>
      </c>
      <c r="K37" s="8" t="s">
        <v>188</v>
      </c>
      <c r="L37" s="8">
        <v>3294137</v>
      </c>
      <c r="O37" s="53" t="s">
        <v>185</v>
      </c>
      <c r="P37" s="53" t="s">
        <v>186</v>
      </c>
      <c r="Q37" s="53" t="s">
        <v>187</v>
      </c>
      <c r="R37" s="53" t="s">
        <v>188</v>
      </c>
      <c r="S37" s="53">
        <v>3294137</v>
      </c>
    </row>
    <row r="38" spans="8:19" ht="14.25" customHeight="1">
      <c r="H38" s="8" t="s">
        <v>189</v>
      </c>
      <c r="I38" s="8" t="s">
        <v>190</v>
      </c>
      <c r="J38" s="8" t="s">
        <v>191</v>
      </c>
      <c r="K38" s="8" t="s">
        <v>192</v>
      </c>
      <c r="L38" s="8">
        <v>4515427</v>
      </c>
      <c r="O38" s="53" t="s">
        <v>189</v>
      </c>
      <c r="P38" s="53" t="s">
        <v>190</v>
      </c>
      <c r="Q38" s="53" t="s">
        <v>191</v>
      </c>
      <c r="R38" s="53" t="s">
        <v>192</v>
      </c>
      <c r="S38" s="53">
        <v>4515427</v>
      </c>
    </row>
    <row r="39" spans="8:19" ht="14.25" customHeight="1">
      <c r="H39" s="8" t="s">
        <v>193</v>
      </c>
      <c r="I39" s="8" t="s">
        <v>194</v>
      </c>
      <c r="J39" s="8" t="s">
        <v>195</v>
      </c>
      <c r="K39" s="8" t="s">
        <v>196</v>
      </c>
      <c r="L39" s="8">
        <v>3564126</v>
      </c>
      <c r="O39" s="53" t="s">
        <v>193</v>
      </c>
      <c r="P39" s="53" t="s">
        <v>194</v>
      </c>
      <c r="Q39" s="53" t="s">
        <v>195</v>
      </c>
      <c r="R39" s="53" t="s">
        <v>196</v>
      </c>
      <c r="S39" s="53">
        <v>3564126</v>
      </c>
    </row>
    <row r="40" spans="8:19" ht="14.25" customHeight="1"/>
    <row r="41" spans="8:19" ht="14.25" customHeight="1"/>
    <row r="42" spans="8:19" ht="14.25" customHeight="1"/>
    <row r="43" spans="8:19" ht="14.25" customHeight="1"/>
    <row r="44" spans="8:19" ht="14.25" customHeight="1"/>
    <row r="45" spans="8:19" ht="14.25" customHeight="1"/>
    <row r="46" spans="8:19" ht="14.25" customHeight="1"/>
    <row r="47" spans="8:19" ht="14.25" customHeight="1"/>
    <row r="48" spans="8: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3">
    <mergeCell ref="B1:E1"/>
    <mergeCell ref="B2:E16"/>
    <mergeCell ref="O1:S1"/>
  </mergeCells>
  <pageMargins left="0.7" right="0.7" top="0.75" bottom="0.7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showGridLines="0" workbookViewId="0">
      <selection activeCell="R15" sqref="R15"/>
    </sheetView>
  </sheetViews>
  <sheetFormatPr defaultColWidth="14.42578125" defaultRowHeight="15" customHeight="1"/>
  <cols>
    <col min="1" max="2" width="8.7109375" customWidth="1"/>
    <col min="3" max="3" width="12" customWidth="1"/>
    <col min="4" max="26" width="8.7109375" customWidth="1"/>
  </cols>
  <sheetData>
    <row r="1" spans="1:17" ht="14.25" customHeight="1">
      <c r="A1" s="86" t="s">
        <v>197</v>
      </c>
      <c r="B1" s="60"/>
      <c r="C1" s="60"/>
      <c r="D1" s="60"/>
      <c r="E1" s="60"/>
      <c r="F1" s="60"/>
      <c r="G1" s="60"/>
    </row>
    <row r="2" spans="1:17" ht="14.25" customHeight="1"/>
    <row r="3" spans="1:17" ht="14.25" customHeight="1"/>
    <row r="4" spans="1:17" ht="14.25" customHeight="1">
      <c r="B4" s="38"/>
      <c r="C4" s="39">
        <v>1</v>
      </c>
      <c r="D4" s="39">
        <v>2</v>
      </c>
      <c r="E4" s="39">
        <v>3</v>
      </c>
      <c r="F4" s="39">
        <v>4</v>
      </c>
      <c r="G4" s="39">
        <v>5</v>
      </c>
      <c r="H4" s="39">
        <v>6</v>
      </c>
      <c r="I4" s="39">
        <v>7</v>
      </c>
      <c r="J4" s="39">
        <v>8</v>
      </c>
      <c r="K4" s="39">
        <v>9</v>
      </c>
      <c r="L4" s="39">
        <v>10</v>
      </c>
      <c r="M4" s="39">
        <v>11</v>
      </c>
      <c r="N4" s="39">
        <v>12</v>
      </c>
      <c r="O4" s="39">
        <v>13</v>
      </c>
      <c r="P4" s="39">
        <v>14</v>
      </c>
      <c r="Q4" s="39">
        <v>15</v>
      </c>
    </row>
    <row r="5" spans="1:17" ht="14.25" customHeight="1">
      <c r="B5" s="39">
        <v>1</v>
      </c>
      <c r="C5" s="40">
        <f t="shared" ref="C5:Q5" si="0">$B5*C$4</f>
        <v>1</v>
      </c>
      <c r="D5" s="40">
        <f t="shared" si="0"/>
        <v>2</v>
      </c>
      <c r="E5" s="40">
        <f t="shared" si="0"/>
        <v>3</v>
      </c>
      <c r="F5" s="40">
        <f t="shared" si="0"/>
        <v>4</v>
      </c>
      <c r="G5" s="40">
        <f t="shared" si="0"/>
        <v>5</v>
      </c>
      <c r="H5" s="40">
        <f t="shared" si="0"/>
        <v>6</v>
      </c>
      <c r="I5" s="40">
        <f t="shared" si="0"/>
        <v>7</v>
      </c>
      <c r="J5" s="40">
        <f t="shared" si="0"/>
        <v>8</v>
      </c>
      <c r="K5" s="40">
        <f t="shared" si="0"/>
        <v>9</v>
      </c>
      <c r="L5" s="40">
        <f t="shared" si="0"/>
        <v>10</v>
      </c>
      <c r="M5" s="40">
        <f t="shared" si="0"/>
        <v>11</v>
      </c>
      <c r="N5" s="40">
        <f t="shared" si="0"/>
        <v>12</v>
      </c>
      <c r="O5" s="40">
        <f t="shared" si="0"/>
        <v>13</v>
      </c>
      <c r="P5" s="40">
        <f t="shared" si="0"/>
        <v>14</v>
      </c>
      <c r="Q5" s="40">
        <f t="shared" si="0"/>
        <v>15</v>
      </c>
    </row>
    <row r="6" spans="1:17" ht="14.25" customHeight="1">
      <c r="B6" s="39">
        <v>2</v>
      </c>
      <c r="C6" s="40">
        <f t="shared" ref="C6:Q19" si="1">$B6*C$4</f>
        <v>2</v>
      </c>
      <c r="D6" s="40">
        <f t="shared" si="1"/>
        <v>4</v>
      </c>
      <c r="E6" s="40">
        <f t="shared" si="1"/>
        <v>6</v>
      </c>
      <c r="F6" s="40">
        <f t="shared" si="1"/>
        <v>8</v>
      </c>
      <c r="G6" s="40">
        <f t="shared" si="1"/>
        <v>10</v>
      </c>
      <c r="H6" s="40">
        <f t="shared" si="1"/>
        <v>12</v>
      </c>
      <c r="I6" s="40">
        <f t="shared" si="1"/>
        <v>14</v>
      </c>
      <c r="J6" s="40">
        <f t="shared" si="1"/>
        <v>16</v>
      </c>
      <c r="K6" s="40">
        <f t="shared" si="1"/>
        <v>18</v>
      </c>
      <c r="L6" s="40">
        <f t="shared" si="1"/>
        <v>20</v>
      </c>
      <c r="M6" s="40">
        <f t="shared" si="1"/>
        <v>22</v>
      </c>
      <c r="N6" s="40">
        <f t="shared" si="1"/>
        <v>24</v>
      </c>
      <c r="O6" s="40">
        <f t="shared" si="1"/>
        <v>26</v>
      </c>
      <c r="P6" s="40">
        <f t="shared" si="1"/>
        <v>28</v>
      </c>
      <c r="Q6" s="40">
        <f t="shared" si="1"/>
        <v>30</v>
      </c>
    </row>
    <row r="7" spans="1:17" ht="14.25" customHeight="1">
      <c r="B7" s="39">
        <v>3</v>
      </c>
      <c r="C7" s="40">
        <f t="shared" si="1"/>
        <v>3</v>
      </c>
      <c r="D7" s="40">
        <f t="shared" si="1"/>
        <v>6</v>
      </c>
      <c r="E7" s="40">
        <f t="shared" si="1"/>
        <v>9</v>
      </c>
      <c r="F7" s="40">
        <f t="shared" si="1"/>
        <v>12</v>
      </c>
      <c r="G7" s="40">
        <f t="shared" si="1"/>
        <v>15</v>
      </c>
      <c r="H7" s="40">
        <f t="shared" si="1"/>
        <v>18</v>
      </c>
      <c r="I7" s="40">
        <f t="shared" si="1"/>
        <v>21</v>
      </c>
      <c r="J7" s="40">
        <f t="shared" si="1"/>
        <v>24</v>
      </c>
      <c r="K7" s="40">
        <f t="shared" si="1"/>
        <v>27</v>
      </c>
      <c r="L7" s="40">
        <f t="shared" si="1"/>
        <v>30</v>
      </c>
      <c r="M7" s="40">
        <f t="shared" si="1"/>
        <v>33</v>
      </c>
      <c r="N7" s="40">
        <f t="shared" si="1"/>
        <v>36</v>
      </c>
      <c r="O7" s="40">
        <f t="shared" si="1"/>
        <v>39</v>
      </c>
      <c r="P7" s="40">
        <f t="shared" si="1"/>
        <v>42</v>
      </c>
      <c r="Q7" s="40">
        <f t="shared" si="1"/>
        <v>45</v>
      </c>
    </row>
    <row r="8" spans="1:17" ht="14.25" customHeight="1">
      <c r="B8" s="39">
        <v>4</v>
      </c>
      <c r="C8" s="40">
        <f t="shared" si="1"/>
        <v>4</v>
      </c>
      <c r="D8" s="40">
        <f t="shared" si="1"/>
        <v>8</v>
      </c>
      <c r="E8" s="40">
        <f t="shared" si="1"/>
        <v>12</v>
      </c>
      <c r="F8" s="40">
        <f t="shared" si="1"/>
        <v>16</v>
      </c>
      <c r="G8" s="40">
        <f t="shared" si="1"/>
        <v>20</v>
      </c>
      <c r="H8" s="40">
        <f t="shared" si="1"/>
        <v>24</v>
      </c>
      <c r="I8" s="40">
        <f t="shared" si="1"/>
        <v>28</v>
      </c>
      <c r="J8" s="40">
        <f t="shared" si="1"/>
        <v>32</v>
      </c>
      <c r="K8" s="40">
        <f t="shared" si="1"/>
        <v>36</v>
      </c>
      <c r="L8" s="40">
        <f t="shared" si="1"/>
        <v>40</v>
      </c>
      <c r="M8" s="40">
        <f t="shared" si="1"/>
        <v>44</v>
      </c>
      <c r="N8" s="40">
        <f t="shared" si="1"/>
        <v>48</v>
      </c>
      <c r="O8" s="40">
        <f t="shared" si="1"/>
        <v>52</v>
      </c>
      <c r="P8" s="40">
        <f t="shared" si="1"/>
        <v>56</v>
      </c>
      <c r="Q8" s="40">
        <f t="shared" si="1"/>
        <v>60</v>
      </c>
    </row>
    <row r="9" spans="1:17" ht="14.25" customHeight="1">
      <c r="B9" s="39">
        <v>5</v>
      </c>
      <c r="C9" s="40">
        <f t="shared" si="1"/>
        <v>5</v>
      </c>
      <c r="D9" s="40">
        <f t="shared" si="1"/>
        <v>10</v>
      </c>
      <c r="E9" s="40">
        <f t="shared" si="1"/>
        <v>15</v>
      </c>
      <c r="F9" s="40">
        <f t="shared" si="1"/>
        <v>20</v>
      </c>
      <c r="G9" s="40">
        <f t="shared" si="1"/>
        <v>25</v>
      </c>
      <c r="H9" s="40">
        <f t="shared" si="1"/>
        <v>30</v>
      </c>
      <c r="I9" s="40">
        <f t="shared" si="1"/>
        <v>35</v>
      </c>
      <c r="J9" s="40">
        <f t="shared" si="1"/>
        <v>40</v>
      </c>
      <c r="K9" s="40">
        <f t="shared" si="1"/>
        <v>45</v>
      </c>
      <c r="L9" s="40">
        <f t="shared" si="1"/>
        <v>50</v>
      </c>
      <c r="M9" s="40">
        <f t="shared" si="1"/>
        <v>55</v>
      </c>
      <c r="N9" s="40">
        <f t="shared" si="1"/>
        <v>60</v>
      </c>
      <c r="O9" s="40">
        <f t="shared" si="1"/>
        <v>65</v>
      </c>
      <c r="P9" s="40">
        <f t="shared" si="1"/>
        <v>70</v>
      </c>
      <c r="Q9" s="40">
        <f t="shared" si="1"/>
        <v>75</v>
      </c>
    </row>
    <row r="10" spans="1:17" ht="14.25" customHeight="1">
      <c r="B10" s="39">
        <v>6</v>
      </c>
      <c r="C10" s="40">
        <f t="shared" si="1"/>
        <v>6</v>
      </c>
      <c r="D10" s="40">
        <f t="shared" si="1"/>
        <v>12</v>
      </c>
      <c r="E10" s="40">
        <f t="shared" si="1"/>
        <v>18</v>
      </c>
      <c r="F10" s="40">
        <f t="shared" si="1"/>
        <v>24</v>
      </c>
      <c r="G10" s="40">
        <f t="shared" si="1"/>
        <v>30</v>
      </c>
      <c r="H10" s="40">
        <f t="shared" si="1"/>
        <v>36</v>
      </c>
      <c r="I10" s="40">
        <f t="shared" si="1"/>
        <v>42</v>
      </c>
      <c r="J10" s="40">
        <f t="shared" si="1"/>
        <v>48</v>
      </c>
      <c r="K10" s="40">
        <f t="shared" si="1"/>
        <v>54</v>
      </c>
      <c r="L10" s="40">
        <f t="shared" si="1"/>
        <v>60</v>
      </c>
      <c r="M10" s="40">
        <f t="shared" si="1"/>
        <v>66</v>
      </c>
      <c r="N10" s="40">
        <f t="shared" si="1"/>
        <v>72</v>
      </c>
      <c r="O10" s="40">
        <f t="shared" si="1"/>
        <v>78</v>
      </c>
      <c r="P10" s="40">
        <f t="shared" si="1"/>
        <v>84</v>
      </c>
      <c r="Q10" s="40">
        <f t="shared" si="1"/>
        <v>90</v>
      </c>
    </row>
    <row r="11" spans="1:17" ht="14.25" customHeight="1">
      <c r="B11" s="39">
        <v>7</v>
      </c>
      <c r="C11" s="40">
        <f t="shared" si="1"/>
        <v>7</v>
      </c>
      <c r="D11" s="40">
        <f t="shared" si="1"/>
        <v>14</v>
      </c>
      <c r="E11" s="40">
        <f t="shared" si="1"/>
        <v>21</v>
      </c>
      <c r="F11" s="40">
        <f t="shared" si="1"/>
        <v>28</v>
      </c>
      <c r="G11" s="40">
        <f t="shared" si="1"/>
        <v>35</v>
      </c>
      <c r="H11" s="40">
        <f t="shared" si="1"/>
        <v>42</v>
      </c>
      <c r="I11" s="40">
        <f t="shared" si="1"/>
        <v>49</v>
      </c>
      <c r="J11" s="40">
        <f t="shared" si="1"/>
        <v>56</v>
      </c>
      <c r="K11" s="40">
        <f t="shared" si="1"/>
        <v>63</v>
      </c>
      <c r="L11" s="40">
        <f t="shared" si="1"/>
        <v>70</v>
      </c>
      <c r="M11" s="40">
        <f t="shared" si="1"/>
        <v>77</v>
      </c>
      <c r="N11" s="40">
        <f t="shared" si="1"/>
        <v>84</v>
      </c>
      <c r="O11" s="40">
        <f t="shared" si="1"/>
        <v>91</v>
      </c>
      <c r="P11" s="40">
        <f t="shared" si="1"/>
        <v>98</v>
      </c>
      <c r="Q11" s="40">
        <f t="shared" si="1"/>
        <v>105</v>
      </c>
    </row>
    <row r="12" spans="1:17" ht="14.25" customHeight="1">
      <c r="B12" s="39">
        <v>8</v>
      </c>
      <c r="C12" s="40">
        <f t="shared" si="1"/>
        <v>8</v>
      </c>
      <c r="D12" s="40">
        <f t="shared" si="1"/>
        <v>16</v>
      </c>
      <c r="E12" s="40">
        <f t="shared" si="1"/>
        <v>24</v>
      </c>
      <c r="F12" s="40">
        <f t="shared" si="1"/>
        <v>32</v>
      </c>
      <c r="G12" s="40">
        <f t="shared" si="1"/>
        <v>40</v>
      </c>
      <c r="H12" s="40">
        <f t="shared" si="1"/>
        <v>48</v>
      </c>
      <c r="I12" s="40">
        <f t="shared" si="1"/>
        <v>56</v>
      </c>
      <c r="J12" s="40">
        <f t="shared" si="1"/>
        <v>64</v>
      </c>
      <c r="K12" s="40">
        <f t="shared" si="1"/>
        <v>72</v>
      </c>
      <c r="L12" s="40">
        <f t="shared" si="1"/>
        <v>80</v>
      </c>
      <c r="M12" s="40">
        <f t="shared" si="1"/>
        <v>88</v>
      </c>
      <c r="N12" s="40">
        <f t="shared" si="1"/>
        <v>96</v>
      </c>
      <c r="O12" s="40">
        <f t="shared" si="1"/>
        <v>104</v>
      </c>
      <c r="P12" s="40">
        <f t="shared" si="1"/>
        <v>112</v>
      </c>
      <c r="Q12" s="40">
        <f t="shared" si="1"/>
        <v>120</v>
      </c>
    </row>
    <row r="13" spans="1:17" ht="14.25" customHeight="1">
      <c r="B13" s="39">
        <v>9</v>
      </c>
      <c r="C13" s="40">
        <f t="shared" si="1"/>
        <v>9</v>
      </c>
      <c r="D13" s="40">
        <f t="shared" si="1"/>
        <v>18</v>
      </c>
      <c r="E13" s="40">
        <f t="shared" si="1"/>
        <v>27</v>
      </c>
      <c r="F13" s="40">
        <f t="shared" si="1"/>
        <v>36</v>
      </c>
      <c r="G13" s="40">
        <f t="shared" si="1"/>
        <v>45</v>
      </c>
      <c r="H13" s="40">
        <f t="shared" si="1"/>
        <v>54</v>
      </c>
      <c r="I13" s="40">
        <f t="shared" si="1"/>
        <v>63</v>
      </c>
      <c r="J13" s="40">
        <f t="shared" si="1"/>
        <v>72</v>
      </c>
      <c r="K13" s="40">
        <f t="shared" si="1"/>
        <v>81</v>
      </c>
      <c r="L13" s="40">
        <f t="shared" si="1"/>
        <v>90</v>
      </c>
      <c r="M13" s="40">
        <f t="shared" si="1"/>
        <v>99</v>
      </c>
      <c r="N13" s="40">
        <f t="shared" si="1"/>
        <v>108</v>
      </c>
      <c r="O13" s="40">
        <f t="shared" si="1"/>
        <v>117</v>
      </c>
      <c r="P13" s="40">
        <f t="shared" si="1"/>
        <v>126</v>
      </c>
      <c r="Q13" s="40">
        <f t="shared" si="1"/>
        <v>135</v>
      </c>
    </row>
    <row r="14" spans="1:17" ht="14.25" customHeight="1">
      <c r="B14" s="39">
        <v>10</v>
      </c>
      <c r="C14" s="40">
        <f t="shared" si="1"/>
        <v>10</v>
      </c>
      <c r="D14" s="40">
        <f t="shared" si="1"/>
        <v>20</v>
      </c>
      <c r="E14" s="40">
        <f t="shared" si="1"/>
        <v>30</v>
      </c>
      <c r="F14" s="40">
        <f t="shared" si="1"/>
        <v>40</v>
      </c>
      <c r="G14" s="40">
        <f t="shared" si="1"/>
        <v>50</v>
      </c>
      <c r="H14" s="40">
        <f t="shared" si="1"/>
        <v>60</v>
      </c>
      <c r="I14" s="40">
        <f t="shared" si="1"/>
        <v>70</v>
      </c>
      <c r="J14" s="40">
        <f t="shared" si="1"/>
        <v>80</v>
      </c>
      <c r="K14" s="40">
        <f t="shared" si="1"/>
        <v>90</v>
      </c>
      <c r="L14" s="40">
        <f t="shared" si="1"/>
        <v>100</v>
      </c>
      <c r="M14" s="40">
        <f t="shared" si="1"/>
        <v>110</v>
      </c>
      <c r="N14" s="40">
        <f t="shared" si="1"/>
        <v>120</v>
      </c>
      <c r="O14" s="40">
        <f t="shared" si="1"/>
        <v>130</v>
      </c>
      <c r="P14" s="40">
        <f t="shared" si="1"/>
        <v>140</v>
      </c>
      <c r="Q14" s="40">
        <f t="shared" si="1"/>
        <v>150</v>
      </c>
    </row>
    <row r="15" spans="1:17" ht="14.25" customHeight="1">
      <c r="B15" s="39">
        <v>11</v>
      </c>
      <c r="C15" s="40">
        <f t="shared" si="1"/>
        <v>11</v>
      </c>
      <c r="D15" s="40">
        <f t="shared" si="1"/>
        <v>22</v>
      </c>
      <c r="E15" s="40">
        <f t="shared" si="1"/>
        <v>33</v>
      </c>
      <c r="F15" s="40">
        <f t="shared" si="1"/>
        <v>44</v>
      </c>
      <c r="G15" s="40">
        <f t="shared" si="1"/>
        <v>55</v>
      </c>
      <c r="H15" s="40">
        <f t="shared" si="1"/>
        <v>66</v>
      </c>
      <c r="I15" s="40">
        <f t="shared" si="1"/>
        <v>77</v>
      </c>
      <c r="J15" s="40">
        <f t="shared" si="1"/>
        <v>88</v>
      </c>
      <c r="K15" s="40">
        <f t="shared" si="1"/>
        <v>99</v>
      </c>
      <c r="L15" s="40">
        <f t="shared" si="1"/>
        <v>110</v>
      </c>
      <c r="M15" s="40">
        <f t="shared" si="1"/>
        <v>121</v>
      </c>
      <c r="N15" s="40">
        <f t="shared" si="1"/>
        <v>132</v>
      </c>
      <c r="O15" s="40">
        <f t="shared" si="1"/>
        <v>143</v>
      </c>
      <c r="P15" s="40">
        <f t="shared" si="1"/>
        <v>154</v>
      </c>
      <c r="Q15" s="40">
        <f t="shared" si="1"/>
        <v>165</v>
      </c>
    </row>
    <row r="16" spans="1:17" ht="14.25" customHeight="1">
      <c r="B16" s="39">
        <v>12</v>
      </c>
      <c r="C16" s="40">
        <f t="shared" si="1"/>
        <v>12</v>
      </c>
      <c r="D16" s="40">
        <f t="shared" si="1"/>
        <v>24</v>
      </c>
      <c r="E16" s="40">
        <f t="shared" si="1"/>
        <v>36</v>
      </c>
      <c r="F16" s="40">
        <f t="shared" si="1"/>
        <v>48</v>
      </c>
      <c r="G16" s="40">
        <f t="shared" si="1"/>
        <v>60</v>
      </c>
      <c r="H16" s="40">
        <f t="shared" si="1"/>
        <v>72</v>
      </c>
      <c r="I16" s="40">
        <f t="shared" si="1"/>
        <v>84</v>
      </c>
      <c r="J16" s="40">
        <f t="shared" si="1"/>
        <v>96</v>
      </c>
      <c r="K16" s="40">
        <f t="shared" si="1"/>
        <v>108</v>
      </c>
      <c r="L16" s="40">
        <f t="shared" si="1"/>
        <v>120</v>
      </c>
      <c r="M16" s="40">
        <f t="shared" si="1"/>
        <v>132</v>
      </c>
      <c r="N16" s="40">
        <f t="shared" si="1"/>
        <v>144</v>
      </c>
      <c r="O16" s="40">
        <f t="shared" si="1"/>
        <v>156</v>
      </c>
      <c r="P16" s="40">
        <f t="shared" si="1"/>
        <v>168</v>
      </c>
      <c r="Q16" s="40">
        <f t="shared" si="1"/>
        <v>180</v>
      </c>
    </row>
    <row r="17" spans="2:17" ht="14.25" customHeight="1">
      <c r="B17" s="39">
        <v>13</v>
      </c>
      <c r="C17" s="40">
        <f t="shared" si="1"/>
        <v>13</v>
      </c>
      <c r="D17" s="40">
        <f t="shared" si="1"/>
        <v>26</v>
      </c>
      <c r="E17" s="40">
        <f t="shared" si="1"/>
        <v>39</v>
      </c>
      <c r="F17" s="40">
        <f t="shared" si="1"/>
        <v>52</v>
      </c>
      <c r="G17" s="40">
        <f t="shared" si="1"/>
        <v>65</v>
      </c>
      <c r="H17" s="40">
        <f t="shared" si="1"/>
        <v>78</v>
      </c>
      <c r="I17" s="40">
        <f t="shared" si="1"/>
        <v>91</v>
      </c>
      <c r="J17" s="40">
        <f t="shared" si="1"/>
        <v>104</v>
      </c>
      <c r="K17" s="40">
        <f t="shared" si="1"/>
        <v>117</v>
      </c>
      <c r="L17" s="40">
        <f t="shared" si="1"/>
        <v>130</v>
      </c>
      <c r="M17" s="40">
        <f t="shared" si="1"/>
        <v>143</v>
      </c>
      <c r="N17" s="40">
        <f t="shared" si="1"/>
        <v>156</v>
      </c>
      <c r="O17" s="40">
        <f t="shared" si="1"/>
        <v>169</v>
      </c>
      <c r="P17" s="40">
        <f t="shared" si="1"/>
        <v>182</v>
      </c>
      <c r="Q17" s="40">
        <f t="shared" si="1"/>
        <v>195</v>
      </c>
    </row>
    <row r="18" spans="2:17" ht="14.25" customHeight="1">
      <c r="B18" s="39">
        <v>14</v>
      </c>
      <c r="C18" s="40">
        <f t="shared" si="1"/>
        <v>14</v>
      </c>
      <c r="D18" s="40">
        <f t="shared" si="1"/>
        <v>28</v>
      </c>
      <c r="E18" s="40">
        <f t="shared" si="1"/>
        <v>42</v>
      </c>
      <c r="F18" s="40">
        <f t="shared" si="1"/>
        <v>56</v>
      </c>
      <c r="G18" s="40">
        <f t="shared" si="1"/>
        <v>70</v>
      </c>
      <c r="H18" s="40">
        <f t="shared" si="1"/>
        <v>84</v>
      </c>
      <c r="I18" s="40">
        <f t="shared" si="1"/>
        <v>98</v>
      </c>
      <c r="J18" s="40">
        <f t="shared" si="1"/>
        <v>112</v>
      </c>
      <c r="K18" s="40">
        <f t="shared" si="1"/>
        <v>126</v>
      </c>
      <c r="L18" s="40">
        <f t="shared" si="1"/>
        <v>140</v>
      </c>
      <c r="M18" s="40">
        <f t="shared" si="1"/>
        <v>154</v>
      </c>
      <c r="N18" s="40">
        <f t="shared" si="1"/>
        <v>168</v>
      </c>
      <c r="O18" s="40">
        <f t="shared" si="1"/>
        <v>182</v>
      </c>
      <c r="P18" s="40">
        <f t="shared" si="1"/>
        <v>196</v>
      </c>
      <c r="Q18" s="40">
        <f t="shared" si="1"/>
        <v>210</v>
      </c>
    </row>
    <row r="19" spans="2:17" ht="14.25" customHeight="1">
      <c r="B19" s="39">
        <v>15</v>
      </c>
      <c r="C19" s="40">
        <f t="shared" si="1"/>
        <v>15</v>
      </c>
      <c r="D19" s="40">
        <f t="shared" si="1"/>
        <v>30</v>
      </c>
      <c r="E19" s="40">
        <f t="shared" si="1"/>
        <v>45</v>
      </c>
      <c r="F19" s="40">
        <f t="shared" si="1"/>
        <v>60</v>
      </c>
      <c r="G19" s="40">
        <f t="shared" si="1"/>
        <v>75</v>
      </c>
      <c r="H19" s="40">
        <f t="shared" si="1"/>
        <v>90</v>
      </c>
      <c r="I19" s="40">
        <f t="shared" si="1"/>
        <v>105</v>
      </c>
      <c r="J19" s="40">
        <f t="shared" si="1"/>
        <v>120</v>
      </c>
      <c r="K19" s="40">
        <f t="shared" si="1"/>
        <v>135</v>
      </c>
      <c r="L19" s="40">
        <f t="shared" si="1"/>
        <v>150</v>
      </c>
      <c r="M19" s="40">
        <f t="shared" si="1"/>
        <v>165</v>
      </c>
      <c r="N19" s="40">
        <f t="shared" si="1"/>
        <v>180</v>
      </c>
      <c r="O19" s="40">
        <f t="shared" si="1"/>
        <v>195</v>
      </c>
      <c r="P19" s="40">
        <f t="shared" si="1"/>
        <v>210</v>
      </c>
      <c r="Q19" s="40">
        <f t="shared" si="1"/>
        <v>225</v>
      </c>
    </row>
    <row r="20" spans="2:17" ht="14.25" customHeight="1">
      <c r="C20" s="41"/>
    </row>
    <row r="21" spans="2:17" ht="14.25" customHeight="1"/>
    <row r="22" spans="2:17" ht="14.25" customHeight="1"/>
    <row r="23" spans="2:17" ht="14.25" customHeight="1"/>
    <row r="24" spans="2:17" ht="14.25" customHeight="1"/>
    <row r="25" spans="2:17" ht="14.25" customHeight="1"/>
    <row r="26" spans="2:17" ht="14.25" customHeight="1"/>
    <row r="27" spans="2:17" ht="14.25" customHeight="1"/>
    <row r="28" spans="2:17" ht="14.25" customHeight="1"/>
    <row r="29" spans="2:17" ht="14.25" customHeight="1"/>
    <row r="30" spans="2:17" ht="14.25" customHeight="1"/>
    <row r="31" spans="2:17" ht="14.25" customHeight="1"/>
    <row r="32" spans="2: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G1"/>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F112" sqref="F112"/>
    </sheetView>
  </sheetViews>
  <sheetFormatPr defaultColWidth="14.42578125" defaultRowHeight="15" customHeight="1"/>
  <cols>
    <col min="1" max="1" width="12.85546875" customWidth="1"/>
    <col min="2" max="2" width="19.85546875" customWidth="1"/>
    <col min="3" max="3" width="34" customWidth="1"/>
    <col min="4" max="4" width="12.85546875" customWidth="1"/>
    <col min="5" max="5" width="29.140625" customWidth="1"/>
    <col min="6" max="6" width="13.42578125" customWidth="1"/>
    <col min="7" max="7" width="11" customWidth="1"/>
    <col min="8" max="8" width="11.140625" customWidth="1"/>
    <col min="9" max="9" width="11" customWidth="1"/>
    <col min="10" max="11" width="12" customWidth="1"/>
    <col min="12" max="26" width="8.7109375" customWidth="1"/>
  </cols>
  <sheetData>
    <row r="1" spans="1:11" ht="14.25" customHeight="1">
      <c r="A1" s="8" t="s">
        <v>198</v>
      </c>
      <c r="B1" s="8" t="s">
        <v>199</v>
      </c>
      <c r="C1" s="8" t="s">
        <v>200</v>
      </c>
      <c r="D1" s="8" t="s">
        <v>201</v>
      </c>
      <c r="E1" s="8" t="s">
        <v>202</v>
      </c>
      <c r="F1" s="8" t="s">
        <v>203</v>
      </c>
      <c r="G1" s="8" t="s">
        <v>204</v>
      </c>
      <c r="H1" s="8" t="s">
        <v>205</v>
      </c>
      <c r="I1" s="8" t="s">
        <v>206</v>
      </c>
      <c r="J1" s="8" t="s">
        <v>207</v>
      </c>
      <c r="K1" s="8" t="s">
        <v>208</v>
      </c>
    </row>
    <row r="2" spans="1:11" ht="20.25" hidden="1" customHeight="1">
      <c r="A2" s="8" t="s">
        <v>209</v>
      </c>
      <c r="B2" s="8" t="s">
        <v>210</v>
      </c>
      <c r="C2" s="8" t="s">
        <v>211</v>
      </c>
      <c r="D2" s="8" t="s">
        <v>212</v>
      </c>
      <c r="E2" s="8" t="s">
        <v>213</v>
      </c>
      <c r="F2" s="8" t="s">
        <v>214</v>
      </c>
      <c r="G2" s="8" t="s">
        <v>215</v>
      </c>
      <c r="H2" s="8" t="s">
        <v>216</v>
      </c>
      <c r="I2" s="8" t="s">
        <v>217</v>
      </c>
      <c r="J2" s="8" t="s">
        <v>218</v>
      </c>
      <c r="K2" s="8" t="s">
        <v>219</v>
      </c>
    </row>
    <row r="3" spans="1:11" ht="14.25" customHeight="1">
      <c r="A3" s="8">
        <v>23345</v>
      </c>
      <c r="B3" s="8" t="s">
        <v>220</v>
      </c>
      <c r="C3" s="8" t="s">
        <v>221</v>
      </c>
      <c r="D3" s="8" t="s">
        <v>222</v>
      </c>
      <c r="E3" s="8" t="s">
        <v>223</v>
      </c>
      <c r="F3" s="8" t="s">
        <v>224</v>
      </c>
      <c r="G3" s="8">
        <v>41150</v>
      </c>
      <c r="H3" s="8">
        <v>8</v>
      </c>
      <c r="I3" s="8">
        <v>208</v>
      </c>
      <c r="J3" s="8">
        <v>14.5</v>
      </c>
      <c r="K3" s="8">
        <v>3016</v>
      </c>
    </row>
    <row r="4" spans="1:11" ht="14.25" customHeight="1">
      <c r="A4" s="8">
        <v>23278</v>
      </c>
      <c r="B4" s="8" t="s">
        <v>225</v>
      </c>
      <c r="C4" s="8" t="s">
        <v>226</v>
      </c>
      <c r="D4" s="8" t="s">
        <v>222</v>
      </c>
      <c r="E4" s="8" t="s">
        <v>223</v>
      </c>
      <c r="F4" s="8" t="s">
        <v>227</v>
      </c>
      <c r="G4" s="8">
        <v>41145</v>
      </c>
      <c r="H4" s="8">
        <v>8</v>
      </c>
      <c r="I4" s="8">
        <v>197</v>
      </c>
      <c r="J4" s="8">
        <v>14.5</v>
      </c>
      <c r="K4" s="8">
        <v>2856.5</v>
      </c>
    </row>
    <row r="5" spans="1:11" ht="14.25" customHeight="1">
      <c r="A5" s="8">
        <v>23303</v>
      </c>
      <c r="B5" s="8" t="s">
        <v>228</v>
      </c>
      <c r="C5" s="8" t="s">
        <v>229</v>
      </c>
      <c r="D5" s="8" t="s">
        <v>222</v>
      </c>
      <c r="E5" s="8" t="s">
        <v>223</v>
      </c>
      <c r="F5" s="8" t="s">
        <v>230</v>
      </c>
      <c r="G5" s="8">
        <v>41138</v>
      </c>
      <c r="H5" s="8">
        <v>8</v>
      </c>
      <c r="I5" s="8">
        <v>176</v>
      </c>
      <c r="J5" s="8">
        <v>14.5</v>
      </c>
      <c r="K5" s="8">
        <v>2552</v>
      </c>
    </row>
    <row r="6" spans="1:11" ht="14.25" customHeight="1">
      <c r="A6" s="8">
        <v>23353</v>
      </c>
      <c r="B6" s="8" t="s">
        <v>231</v>
      </c>
      <c r="C6" s="8" t="s">
        <v>232</v>
      </c>
      <c r="D6" s="8" t="s">
        <v>222</v>
      </c>
      <c r="E6" s="8" t="s">
        <v>223</v>
      </c>
      <c r="F6" s="8" t="s">
        <v>227</v>
      </c>
      <c r="G6" s="8">
        <v>41070</v>
      </c>
      <c r="H6" s="8">
        <v>6</v>
      </c>
      <c r="I6" s="8">
        <v>168</v>
      </c>
      <c r="J6" s="8">
        <v>14.5</v>
      </c>
      <c r="K6" s="8">
        <v>2436</v>
      </c>
    </row>
    <row r="7" spans="1:11" ht="14.25" customHeight="1">
      <c r="A7" s="8">
        <v>23289</v>
      </c>
      <c r="B7" s="8" t="s">
        <v>233</v>
      </c>
      <c r="C7" s="8" t="s">
        <v>234</v>
      </c>
      <c r="D7" s="8" t="s">
        <v>222</v>
      </c>
      <c r="E7" s="8" t="s">
        <v>223</v>
      </c>
      <c r="F7" s="8" t="s">
        <v>230</v>
      </c>
      <c r="G7" s="8">
        <v>41123</v>
      </c>
      <c r="H7" s="8">
        <v>8</v>
      </c>
      <c r="I7" s="8">
        <v>166</v>
      </c>
      <c r="J7" s="8">
        <v>14.5</v>
      </c>
      <c r="K7" s="8">
        <v>2407</v>
      </c>
    </row>
    <row r="8" spans="1:11" ht="14.25" customHeight="1">
      <c r="A8" s="8">
        <v>23378</v>
      </c>
      <c r="B8" s="8" t="s">
        <v>235</v>
      </c>
      <c r="C8" s="8" t="s">
        <v>236</v>
      </c>
      <c r="D8" s="8" t="s">
        <v>222</v>
      </c>
      <c r="E8" s="8" t="s">
        <v>223</v>
      </c>
      <c r="F8" s="8" t="s">
        <v>224</v>
      </c>
      <c r="G8" s="8">
        <v>41078</v>
      </c>
      <c r="H8" s="8">
        <v>6</v>
      </c>
      <c r="I8" s="8">
        <v>157</v>
      </c>
      <c r="J8" s="8">
        <v>14.5</v>
      </c>
      <c r="K8" s="8">
        <v>2276.5</v>
      </c>
    </row>
    <row r="9" spans="1:11" ht="14.25" customHeight="1">
      <c r="A9" s="8">
        <v>23283</v>
      </c>
      <c r="B9" s="8" t="s">
        <v>237</v>
      </c>
      <c r="C9" s="8" t="s">
        <v>238</v>
      </c>
      <c r="D9" s="8" t="s">
        <v>222</v>
      </c>
      <c r="E9" s="8" t="s">
        <v>223</v>
      </c>
      <c r="F9" s="8" t="s">
        <v>224</v>
      </c>
      <c r="G9" s="8">
        <v>41084</v>
      </c>
      <c r="H9" s="8">
        <v>6</v>
      </c>
      <c r="I9" s="8">
        <v>142</v>
      </c>
      <c r="J9" s="8">
        <v>14.5</v>
      </c>
      <c r="K9" s="8">
        <v>2059</v>
      </c>
    </row>
    <row r="10" spans="1:11" ht="14.25" customHeight="1">
      <c r="A10" s="8">
        <v>23324</v>
      </c>
      <c r="B10" s="8" t="s">
        <v>239</v>
      </c>
      <c r="C10" s="8" t="s">
        <v>240</v>
      </c>
      <c r="D10" s="8" t="s">
        <v>241</v>
      </c>
      <c r="E10" s="8" t="s">
        <v>242</v>
      </c>
      <c r="F10" s="8" t="s">
        <v>230</v>
      </c>
      <c r="G10" s="8">
        <v>41134</v>
      </c>
      <c r="H10" s="8">
        <v>8</v>
      </c>
      <c r="I10" s="8">
        <v>193</v>
      </c>
      <c r="J10" s="8">
        <v>9</v>
      </c>
      <c r="K10" s="8">
        <v>1928.07</v>
      </c>
    </row>
    <row r="11" spans="1:11" ht="14.25" customHeight="1">
      <c r="A11" s="8">
        <v>23264</v>
      </c>
      <c r="B11" s="8" t="s">
        <v>243</v>
      </c>
      <c r="C11" s="8" t="s">
        <v>244</v>
      </c>
      <c r="D11" s="8" t="s">
        <v>245</v>
      </c>
      <c r="E11" s="8" t="s">
        <v>246</v>
      </c>
      <c r="F11" s="8" t="s">
        <v>224</v>
      </c>
      <c r="G11" s="8">
        <v>41139</v>
      </c>
      <c r="H11" s="8">
        <v>8</v>
      </c>
      <c r="I11" s="8">
        <v>205</v>
      </c>
      <c r="J11" s="8">
        <v>9</v>
      </c>
      <c r="K11" s="8">
        <v>1845</v>
      </c>
    </row>
    <row r="12" spans="1:11" ht="14.25" customHeight="1">
      <c r="A12" s="8">
        <v>23291</v>
      </c>
      <c r="B12" s="8" t="s">
        <v>247</v>
      </c>
      <c r="C12" s="8" t="s">
        <v>248</v>
      </c>
      <c r="D12" s="8" t="s">
        <v>245</v>
      </c>
      <c r="E12" s="8" t="s">
        <v>246</v>
      </c>
      <c r="F12" s="8" t="s">
        <v>230</v>
      </c>
      <c r="G12" s="8">
        <v>41139</v>
      </c>
      <c r="H12" s="8">
        <v>8</v>
      </c>
      <c r="I12" s="8">
        <v>199</v>
      </c>
      <c r="J12" s="8">
        <v>9</v>
      </c>
      <c r="K12" s="8">
        <v>1791</v>
      </c>
    </row>
    <row r="13" spans="1:11" ht="14.25" customHeight="1">
      <c r="A13" s="8">
        <v>23305</v>
      </c>
      <c r="B13" s="8" t="s">
        <v>249</v>
      </c>
      <c r="C13" s="8" t="s">
        <v>250</v>
      </c>
      <c r="D13" s="8" t="s">
        <v>245</v>
      </c>
      <c r="E13" s="8" t="s">
        <v>246</v>
      </c>
      <c r="F13" s="8" t="s">
        <v>224</v>
      </c>
      <c r="G13" s="8">
        <v>41147</v>
      </c>
      <c r="H13" s="8">
        <v>8</v>
      </c>
      <c r="I13" s="8">
        <v>188</v>
      </c>
      <c r="J13" s="8">
        <v>9</v>
      </c>
      <c r="K13" s="8">
        <v>1692</v>
      </c>
    </row>
    <row r="14" spans="1:11" ht="14.25" customHeight="1">
      <c r="A14" s="8">
        <v>23350</v>
      </c>
      <c r="B14" s="8" t="s">
        <v>251</v>
      </c>
      <c r="C14" s="8" t="s">
        <v>252</v>
      </c>
      <c r="D14" s="8" t="s">
        <v>245</v>
      </c>
      <c r="E14" s="8" t="s">
        <v>246</v>
      </c>
      <c r="F14" s="8" t="s">
        <v>224</v>
      </c>
      <c r="G14" s="8">
        <v>41085</v>
      </c>
      <c r="H14" s="8">
        <v>6</v>
      </c>
      <c r="I14" s="8">
        <v>188</v>
      </c>
      <c r="J14" s="8">
        <v>9</v>
      </c>
      <c r="K14" s="8">
        <v>1692</v>
      </c>
    </row>
    <row r="15" spans="1:11" ht="14.25" customHeight="1">
      <c r="A15" s="8">
        <v>23300</v>
      </c>
      <c r="B15" s="8" t="s">
        <v>253</v>
      </c>
      <c r="C15" s="8" t="s">
        <v>254</v>
      </c>
      <c r="D15" s="8" t="s">
        <v>241</v>
      </c>
      <c r="E15" s="8" t="s">
        <v>242</v>
      </c>
      <c r="F15" s="8" t="s">
        <v>224</v>
      </c>
      <c r="G15" s="8">
        <v>40915</v>
      </c>
      <c r="H15" s="8">
        <v>1</v>
      </c>
      <c r="I15" s="8">
        <v>167</v>
      </c>
      <c r="J15" s="8">
        <v>9.99</v>
      </c>
      <c r="K15" s="8">
        <v>1668.33</v>
      </c>
    </row>
    <row r="16" spans="1:11" ht="14.25" customHeight="1">
      <c r="A16" s="8">
        <v>23348</v>
      </c>
      <c r="B16" s="8" t="s">
        <v>255</v>
      </c>
      <c r="C16" s="8" t="s">
        <v>256</v>
      </c>
      <c r="D16" s="8" t="s">
        <v>241</v>
      </c>
      <c r="E16" s="8" t="s">
        <v>242</v>
      </c>
      <c r="F16" s="8" t="s">
        <v>230</v>
      </c>
      <c r="G16" s="8">
        <v>41146</v>
      </c>
      <c r="H16" s="8">
        <v>8</v>
      </c>
      <c r="I16" s="8">
        <v>163</v>
      </c>
      <c r="J16" s="8">
        <v>9.99</v>
      </c>
      <c r="K16" s="8">
        <v>1628.3700000000001</v>
      </c>
    </row>
    <row r="17" spans="1:11" ht="14.25" customHeight="1">
      <c r="A17" s="8">
        <v>23290</v>
      </c>
      <c r="B17" s="8" t="s">
        <v>257</v>
      </c>
      <c r="C17" s="8" t="s">
        <v>258</v>
      </c>
      <c r="D17" s="8" t="s">
        <v>245</v>
      </c>
      <c r="E17" s="8" t="s">
        <v>246</v>
      </c>
      <c r="F17" s="8" t="s">
        <v>224</v>
      </c>
      <c r="G17" s="8">
        <v>41132</v>
      </c>
      <c r="H17" s="8">
        <v>8</v>
      </c>
      <c r="I17" s="8">
        <v>170</v>
      </c>
      <c r="J17" s="8">
        <v>9</v>
      </c>
      <c r="K17" s="8">
        <f>INDEX(DataSet!I1:I109,MATCH('VlookUp_Index&amp;Match'!I17,DataSet!A2:A109))</f>
        <v>108</v>
      </c>
    </row>
    <row r="18" spans="1:11" ht="14.25" customHeight="1">
      <c r="A18" s="8">
        <v>23328</v>
      </c>
      <c r="B18" s="8" t="s">
        <v>259</v>
      </c>
      <c r="C18" s="8" t="s">
        <v>260</v>
      </c>
      <c r="D18" s="8" t="s">
        <v>222</v>
      </c>
      <c r="E18" s="8" t="s">
        <v>223</v>
      </c>
      <c r="F18" s="8" t="s">
        <v>230</v>
      </c>
      <c r="G18" s="8">
        <v>40923</v>
      </c>
      <c r="H18" s="8">
        <v>1</v>
      </c>
      <c r="I18" s="8">
        <v>102</v>
      </c>
      <c r="J18" s="8">
        <v>14.5</v>
      </c>
      <c r="K18" s="8">
        <v>1479</v>
      </c>
    </row>
    <row r="19" spans="1:11" ht="14.25" customHeight="1">
      <c r="A19" s="8">
        <v>23294</v>
      </c>
      <c r="B19" s="8" t="s">
        <v>261</v>
      </c>
      <c r="C19" s="8" t="s">
        <v>262</v>
      </c>
      <c r="D19" s="8" t="s">
        <v>245</v>
      </c>
      <c r="E19" s="8" t="s">
        <v>246</v>
      </c>
      <c r="F19" s="8" t="s">
        <v>230</v>
      </c>
      <c r="G19" s="8">
        <v>41082</v>
      </c>
      <c r="H19" s="8">
        <v>6</v>
      </c>
      <c r="I19" s="8">
        <v>160</v>
      </c>
      <c r="J19" s="8">
        <v>9</v>
      </c>
      <c r="K19" s="8">
        <v>1440</v>
      </c>
    </row>
    <row r="20" spans="1:11" ht="14.25" customHeight="1">
      <c r="A20" s="8">
        <v>23371</v>
      </c>
      <c r="B20" s="8" t="s">
        <v>263</v>
      </c>
      <c r="C20" s="8" t="s">
        <v>264</v>
      </c>
      <c r="D20" s="8" t="s">
        <v>265</v>
      </c>
      <c r="E20" s="8" t="s">
        <v>266</v>
      </c>
      <c r="F20" s="8" t="s">
        <v>224</v>
      </c>
      <c r="G20" s="8">
        <v>41136</v>
      </c>
      <c r="H20" s="8">
        <v>8</v>
      </c>
      <c r="I20" s="8">
        <v>204</v>
      </c>
      <c r="J20" s="8">
        <v>6.99</v>
      </c>
      <c r="K20" s="8">
        <v>1425.96</v>
      </c>
    </row>
    <row r="21" spans="1:11" ht="14.25" customHeight="1">
      <c r="A21" s="8">
        <v>23288</v>
      </c>
      <c r="B21" s="8" t="s">
        <v>267</v>
      </c>
      <c r="C21" s="8" t="s">
        <v>268</v>
      </c>
      <c r="D21" s="8" t="s">
        <v>241</v>
      </c>
      <c r="E21" s="8" t="s">
        <v>242</v>
      </c>
      <c r="F21" s="8" t="s">
        <v>227</v>
      </c>
      <c r="G21" s="8">
        <v>41074</v>
      </c>
      <c r="H21" s="8">
        <v>6</v>
      </c>
      <c r="I21" s="8">
        <v>141</v>
      </c>
      <c r="J21" s="8">
        <v>9.99</v>
      </c>
      <c r="K21" s="8">
        <v>1408.59</v>
      </c>
    </row>
    <row r="22" spans="1:11" ht="14.25" customHeight="1">
      <c r="A22" s="8">
        <v>23347</v>
      </c>
      <c r="B22" s="8" t="s">
        <v>269</v>
      </c>
      <c r="C22" s="8" t="s">
        <v>270</v>
      </c>
      <c r="D22" s="8" t="s">
        <v>245</v>
      </c>
      <c r="E22" s="8" t="s">
        <v>246</v>
      </c>
      <c r="F22" s="8" t="s">
        <v>224</v>
      </c>
      <c r="G22" s="8">
        <v>41088</v>
      </c>
      <c r="H22" s="8">
        <v>6</v>
      </c>
      <c r="I22" s="8">
        <v>147</v>
      </c>
      <c r="J22" s="8">
        <v>9</v>
      </c>
      <c r="K22" s="8">
        <v>1323</v>
      </c>
    </row>
    <row r="23" spans="1:11" ht="14.25" customHeight="1">
      <c r="A23" s="8">
        <v>23361</v>
      </c>
      <c r="B23" s="8" t="s">
        <v>271</v>
      </c>
      <c r="C23" s="8" t="s">
        <v>272</v>
      </c>
      <c r="D23" s="8" t="s">
        <v>265</v>
      </c>
      <c r="E23" s="8" t="s">
        <v>266</v>
      </c>
      <c r="F23" s="8" t="s">
        <v>224</v>
      </c>
      <c r="G23" s="8">
        <v>40915</v>
      </c>
      <c r="H23" s="8">
        <v>1</v>
      </c>
      <c r="I23" s="8">
        <v>184</v>
      </c>
      <c r="J23" s="8">
        <v>6.99</v>
      </c>
      <c r="K23" s="8">
        <v>1286.1600000000001</v>
      </c>
    </row>
    <row r="24" spans="1:11" ht="14.25" customHeight="1">
      <c r="A24" s="8">
        <v>23275</v>
      </c>
      <c r="B24" s="8" t="s">
        <v>273</v>
      </c>
      <c r="C24" s="8" t="s">
        <v>274</v>
      </c>
      <c r="D24" s="8" t="s">
        <v>245</v>
      </c>
      <c r="E24" s="8" t="s">
        <v>246</v>
      </c>
      <c r="F24" s="8" t="s">
        <v>230</v>
      </c>
      <c r="G24" s="8">
        <v>40912</v>
      </c>
      <c r="H24" s="8">
        <v>1</v>
      </c>
      <c r="I24" s="8">
        <v>141</v>
      </c>
      <c r="J24" s="8">
        <v>9</v>
      </c>
      <c r="K24" s="8">
        <v>1269</v>
      </c>
    </row>
    <row r="25" spans="1:11" ht="14.25" customHeight="1">
      <c r="A25" s="8">
        <v>23297</v>
      </c>
      <c r="B25" s="8" t="s">
        <v>275</v>
      </c>
      <c r="C25" s="8" t="s">
        <v>276</v>
      </c>
      <c r="D25" s="8" t="s">
        <v>245</v>
      </c>
      <c r="E25" s="8" t="s">
        <v>246</v>
      </c>
      <c r="F25" s="8" t="s">
        <v>224</v>
      </c>
      <c r="G25" s="8">
        <v>41133</v>
      </c>
      <c r="H25" s="8">
        <v>8</v>
      </c>
      <c r="I25" s="8">
        <v>135</v>
      </c>
      <c r="J25" s="8">
        <v>9</v>
      </c>
      <c r="K25" s="8">
        <v>1215</v>
      </c>
    </row>
    <row r="26" spans="1:11" ht="14.25" customHeight="1">
      <c r="A26" s="8">
        <v>23327</v>
      </c>
      <c r="B26" s="8" t="s">
        <v>277</v>
      </c>
      <c r="C26" s="8" t="s">
        <v>278</v>
      </c>
      <c r="D26" s="8" t="s">
        <v>279</v>
      </c>
      <c r="E26" s="8" t="s">
        <v>280</v>
      </c>
      <c r="F26" s="8" t="s">
        <v>230</v>
      </c>
      <c r="G26" s="8">
        <v>40939</v>
      </c>
      <c r="H26" s="8">
        <v>1</v>
      </c>
      <c r="I26" s="8">
        <v>176</v>
      </c>
      <c r="J26" s="8">
        <v>6.5</v>
      </c>
      <c r="K26" s="8" t="e">
        <f>INDEX(DataSet!B1:B109, match)</f>
        <v>#NAME?</v>
      </c>
    </row>
    <row r="27" spans="1:11" ht="14.25" customHeight="1">
      <c r="A27" s="8">
        <v>23325</v>
      </c>
      <c r="B27" s="8" t="s">
        <v>281</v>
      </c>
      <c r="C27" s="8" t="s">
        <v>282</v>
      </c>
      <c r="D27" s="8" t="s">
        <v>283</v>
      </c>
      <c r="E27" s="8" t="s">
        <v>284</v>
      </c>
      <c r="F27" s="8" t="s">
        <v>230</v>
      </c>
      <c r="G27" s="8">
        <v>41082</v>
      </c>
      <c r="H27" s="8">
        <v>6</v>
      </c>
      <c r="I27" s="8">
        <v>184</v>
      </c>
      <c r="J27" s="8">
        <v>6</v>
      </c>
      <c r="K27" s="8">
        <v>1104</v>
      </c>
    </row>
    <row r="28" spans="1:11" ht="14.25" customHeight="1">
      <c r="A28" s="8">
        <v>23292</v>
      </c>
      <c r="B28" s="8" t="s">
        <v>285</v>
      </c>
      <c r="C28" s="8" t="s">
        <v>286</v>
      </c>
      <c r="D28" s="8" t="s">
        <v>222</v>
      </c>
      <c r="E28" s="8" t="s">
        <v>223</v>
      </c>
      <c r="F28" s="8" t="s">
        <v>224</v>
      </c>
      <c r="G28" s="8">
        <v>40911</v>
      </c>
      <c r="H28" s="8">
        <v>1</v>
      </c>
      <c r="I28" s="8">
        <v>73</v>
      </c>
      <c r="J28" s="8">
        <v>14.5</v>
      </c>
      <c r="K28" s="8">
        <v>1058.5</v>
      </c>
    </row>
    <row r="29" spans="1:11" ht="14.25" customHeight="1">
      <c r="A29" s="8">
        <v>23335</v>
      </c>
      <c r="B29" s="8" t="s">
        <v>287</v>
      </c>
      <c r="C29" s="8" t="s">
        <v>288</v>
      </c>
      <c r="D29" s="8" t="s">
        <v>245</v>
      </c>
      <c r="E29" s="8" t="s">
        <v>246</v>
      </c>
      <c r="F29" s="8" t="s">
        <v>224</v>
      </c>
      <c r="G29" s="8">
        <v>41134</v>
      </c>
      <c r="H29" s="8">
        <v>8</v>
      </c>
      <c r="I29" s="8">
        <v>116</v>
      </c>
      <c r="J29" s="8">
        <v>9</v>
      </c>
      <c r="K29" s="8">
        <v>1044</v>
      </c>
    </row>
    <row r="30" spans="1:11" ht="14.25" customHeight="1">
      <c r="A30" s="8">
        <v>23314</v>
      </c>
      <c r="B30" s="8" t="s">
        <v>289</v>
      </c>
      <c r="C30" s="8" t="s">
        <v>290</v>
      </c>
      <c r="D30" s="8" t="s">
        <v>241</v>
      </c>
      <c r="E30" s="8" t="s">
        <v>242</v>
      </c>
      <c r="F30" s="8" t="s">
        <v>230</v>
      </c>
      <c r="G30" s="8">
        <v>41131</v>
      </c>
      <c r="H30" s="8">
        <v>8</v>
      </c>
      <c r="I30" s="8">
        <v>95</v>
      </c>
      <c r="J30" s="8">
        <v>9.99</v>
      </c>
      <c r="K30" s="8">
        <v>949.05000000000007</v>
      </c>
    </row>
    <row r="31" spans="1:11" ht="14.25" customHeight="1">
      <c r="A31" s="8">
        <v>23329</v>
      </c>
      <c r="B31" s="8" t="s">
        <v>291</v>
      </c>
      <c r="C31" s="8" t="s">
        <v>292</v>
      </c>
      <c r="D31" s="8" t="s">
        <v>293</v>
      </c>
      <c r="E31" s="8" t="s">
        <v>294</v>
      </c>
      <c r="F31" s="8" t="s">
        <v>230</v>
      </c>
      <c r="G31" s="8">
        <v>40931</v>
      </c>
      <c r="H31" s="8">
        <v>1</v>
      </c>
      <c r="I31" s="8">
        <v>203</v>
      </c>
      <c r="J31" s="8">
        <v>4.5</v>
      </c>
      <c r="K31" s="8">
        <v>913.5</v>
      </c>
    </row>
    <row r="32" spans="1:11" ht="14.25" customHeight="1">
      <c r="A32" s="8">
        <v>23332</v>
      </c>
      <c r="B32" s="8" t="s">
        <v>295</v>
      </c>
      <c r="C32" s="8" t="s">
        <v>296</v>
      </c>
      <c r="D32" s="8" t="s">
        <v>293</v>
      </c>
      <c r="E32" s="8" t="s">
        <v>294</v>
      </c>
      <c r="F32" s="8" t="s">
        <v>227</v>
      </c>
      <c r="G32" s="8">
        <v>40950</v>
      </c>
      <c r="H32" s="8">
        <v>2</v>
      </c>
      <c r="I32" s="8">
        <v>203</v>
      </c>
      <c r="J32" s="8">
        <v>4.5</v>
      </c>
      <c r="K32" s="8">
        <v>913.5</v>
      </c>
    </row>
    <row r="33" spans="1:11" ht="14.25" customHeight="1">
      <c r="A33" s="8">
        <v>23317</v>
      </c>
      <c r="B33" s="8" t="s">
        <v>297</v>
      </c>
      <c r="C33" s="8" t="s">
        <v>298</v>
      </c>
      <c r="D33" s="8" t="s">
        <v>293</v>
      </c>
      <c r="E33" s="8" t="s">
        <v>294</v>
      </c>
      <c r="F33" s="8" t="s">
        <v>227</v>
      </c>
      <c r="G33" s="8">
        <v>40956</v>
      </c>
      <c r="H33" s="8">
        <v>2</v>
      </c>
      <c r="I33" s="8">
        <v>196</v>
      </c>
      <c r="J33" s="8">
        <v>4.5</v>
      </c>
      <c r="K33" s="8">
        <v>882</v>
      </c>
    </row>
    <row r="34" spans="1:11" ht="14.25" customHeight="1">
      <c r="A34" s="8">
        <v>23271</v>
      </c>
      <c r="B34" s="8" t="s">
        <v>299</v>
      </c>
      <c r="C34" s="8" t="s">
        <v>300</v>
      </c>
      <c r="D34" s="8" t="s">
        <v>265</v>
      </c>
      <c r="E34" s="8" t="s">
        <v>266</v>
      </c>
      <c r="F34" s="8" t="s">
        <v>230</v>
      </c>
      <c r="G34" s="8">
        <v>40966</v>
      </c>
      <c r="H34" s="8">
        <v>2</v>
      </c>
      <c r="I34" s="8">
        <v>125</v>
      </c>
      <c r="J34" s="8">
        <v>6.99</v>
      </c>
      <c r="K34" s="8">
        <v>873.75</v>
      </c>
    </row>
    <row r="35" spans="1:11" ht="14.25" customHeight="1">
      <c r="A35" s="8">
        <v>23287</v>
      </c>
      <c r="B35" s="8" t="s">
        <v>301</v>
      </c>
      <c r="C35" s="8" t="s">
        <v>302</v>
      </c>
      <c r="D35" s="8" t="s">
        <v>293</v>
      </c>
      <c r="E35" s="8" t="s">
        <v>294</v>
      </c>
      <c r="F35" s="8" t="s">
        <v>230</v>
      </c>
      <c r="G35" s="8">
        <v>41077</v>
      </c>
      <c r="H35" s="8">
        <v>6</v>
      </c>
      <c r="I35" s="8">
        <v>189</v>
      </c>
      <c r="J35" s="8">
        <v>4.5</v>
      </c>
      <c r="K35" s="8">
        <v>850.5</v>
      </c>
    </row>
    <row r="36" spans="1:11" ht="14.25" customHeight="1">
      <c r="A36" s="8">
        <v>23349</v>
      </c>
      <c r="B36" s="8" t="s">
        <v>303</v>
      </c>
      <c r="C36" s="8" t="s">
        <v>304</v>
      </c>
      <c r="D36" s="8" t="s">
        <v>279</v>
      </c>
      <c r="E36" s="8" t="s">
        <v>280</v>
      </c>
      <c r="F36" s="8" t="s">
        <v>230</v>
      </c>
      <c r="G36" s="8">
        <v>41112</v>
      </c>
      <c r="H36" s="8">
        <v>7</v>
      </c>
      <c r="I36" s="8">
        <v>126</v>
      </c>
      <c r="J36" s="8">
        <v>6.5</v>
      </c>
      <c r="K36" s="8">
        <v>819</v>
      </c>
    </row>
    <row r="37" spans="1:11" ht="14.25" customHeight="1">
      <c r="A37" s="8">
        <v>23309</v>
      </c>
      <c r="B37" s="8" t="s">
        <v>305</v>
      </c>
      <c r="C37" s="8" t="s">
        <v>306</v>
      </c>
      <c r="D37" s="8" t="s">
        <v>307</v>
      </c>
      <c r="E37" s="8" t="s">
        <v>308</v>
      </c>
      <c r="F37" s="8" t="s">
        <v>224</v>
      </c>
      <c r="G37" s="8">
        <v>41083</v>
      </c>
      <c r="H37" s="8">
        <v>6</v>
      </c>
      <c r="I37" s="8">
        <v>201</v>
      </c>
      <c r="J37" s="8">
        <v>3.99</v>
      </c>
      <c r="K37" s="8">
        <v>801.99</v>
      </c>
    </row>
    <row r="38" spans="1:11" ht="14.25" customHeight="1">
      <c r="A38" s="8">
        <v>23338</v>
      </c>
      <c r="B38" s="8" t="s">
        <v>309</v>
      </c>
      <c r="C38" s="8" t="s">
        <v>310</v>
      </c>
      <c r="D38" s="8" t="s">
        <v>293</v>
      </c>
      <c r="E38" s="8" t="s">
        <v>294</v>
      </c>
      <c r="F38" s="8" t="s">
        <v>230</v>
      </c>
      <c r="G38" s="8">
        <v>41133</v>
      </c>
      <c r="H38" s="8">
        <v>8</v>
      </c>
      <c r="I38" s="8">
        <v>178</v>
      </c>
      <c r="J38" s="8">
        <v>4.5</v>
      </c>
      <c r="K38" s="8">
        <v>801</v>
      </c>
    </row>
    <row r="39" spans="1:11" ht="14.25" customHeight="1">
      <c r="A39" s="8">
        <v>23301</v>
      </c>
      <c r="B39" s="8" t="s">
        <v>311</v>
      </c>
      <c r="C39" s="8" t="s">
        <v>312</v>
      </c>
      <c r="D39" s="8" t="s">
        <v>265</v>
      </c>
      <c r="E39" s="8" t="s">
        <v>266</v>
      </c>
      <c r="F39" s="8" t="s">
        <v>230</v>
      </c>
      <c r="G39" s="8">
        <v>41109</v>
      </c>
      <c r="H39" s="8">
        <v>7</v>
      </c>
      <c r="I39" s="8">
        <v>108</v>
      </c>
      <c r="J39" s="8">
        <v>6.99</v>
      </c>
      <c r="K39" s="8">
        <v>754.92000000000007</v>
      </c>
    </row>
    <row r="40" spans="1:11" ht="14.25" customHeight="1">
      <c r="A40" s="8">
        <v>23320</v>
      </c>
      <c r="B40" s="8" t="s">
        <v>313</v>
      </c>
      <c r="C40" s="8" t="s">
        <v>314</v>
      </c>
      <c r="D40" s="8" t="s">
        <v>283</v>
      </c>
      <c r="E40" s="8" t="s">
        <v>284</v>
      </c>
      <c r="F40" s="8" t="s">
        <v>227</v>
      </c>
      <c r="G40" s="8">
        <v>41075</v>
      </c>
      <c r="H40" s="8">
        <v>6</v>
      </c>
      <c r="I40" s="8">
        <v>125</v>
      </c>
      <c r="J40" s="8">
        <v>6</v>
      </c>
      <c r="K40" s="8">
        <v>750</v>
      </c>
    </row>
    <row r="41" spans="1:11" ht="14.25" customHeight="1">
      <c r="A41" s="8">
        <v>23365</v>
      </c>
      <c r="B41" s="8" t="s">
        <v>315</v>
      </c>
      <c r="C41" s="8" t="s">
        <v>316</v>
      </c>
      <c r="D41" s="8" t="s">
        <v>317</v>
      </c>
      <c r="E41" s="8" t="s">
        <v>318</v>
      </c>
      <c r="F41" s="8" t="s">
        <v>230</v>
      </c>
      <c r="G41" s="8">
        <v>41099</v>
      </c>
      <c r="H41" s="8">
        <v>7</v>
      </c>
      <c r="I41" s="8">
        <v>165</v>
      </c>
      <c r="J41" s="8">
        <v>4.5</v>
      </c>
      <c r="K41" s="8">
        <v>742.5</v>
      </c>
    </row>
    <row r="42" spans="1:11" ht="14.25" customHeight="1">
      <c r="A42" s="8">
        <v>23302</v>
      </c>
      <c r="B42" s="8" t="s">
        <v>319</v>
      </c>
      <c r="C42" s="8" t="s">
        <v>290</v>
      </c>
      <c r="D42" s="8" t="s">
        <v>320</v>
      </c>
      <c r="E42" s="8" t="s">
        <v>321</v>
      </c>
      <c r="F42" s="8" t="s">
        <v>224</v>
      </c>
      <c r="G42" s="8">
        <v>41117</v>
      </c>
      <c r="H42" s="8">
        <v>7</v>
      </c>
      <c r="I42" s="8">
        <v>105</v>
      </c>
      <c r="J42" s="8">
        <v>6.5</v>
      </c>
      <c r="K42" s="8">
        <v>682.5</v>
      </c>
    </row>
    <row r="43" spans="1:11" ht="14.25" customHeight="1">
      <c r="A43" s="8">
        <v>23266</v>
      </c>
      <c r="B43" s="8" t="s">
        <v>322</v>
      </c>
      <c r="C43" s="8" t="s">
        <v>323</v>
      </c>
      <c r="D43" s="8" t="s">
        <v>307</v>
      </c>
      <c r="E43" s="8" t="s">
        <v>308</v>
      </c>
      <c r="F43" s="8" t="s">
        <v>224</v>
      </c>
      <c r="G43" s="8">
        <v>41132</v>
      </c>
      <c r="H43" s="8">
        <v>8</v>
      </c>
      <c r="I43" s="8">
        <v>170</v>
      </c>
      <c r="J43" s="8">
        <v>3.99</v>
      </c>
      <c r="K43" s="8">
        <v>678.30000000000007</v>
      </c>
    </row>
    <row r="44" spans="1:11" ht="14.25" customHeight="1">
      <c r="A44" s="8">
        <v>23307</v>
      </c>
      <c r="B44" s="8" t="s">
        <v>324</v>
      </c>
      <c r="C44" s="8" t="s">
        <v>325</v>
      </c>
      <c r="D44" s="8" t="s">
        <v>283</v>
      </c>
      <c r="E44" s="8" t="s">
        <v>284</v>
      </c>
      <c r="F44" s="8" t="s">
        <v>230</v>
      </c>
      <c r="G44" s="8">
        <v>41094</v>
      </c>
      <c r="H44" s="8">
        <v>7</v>
      </c>
      <c r="I44" s="8">
        <v>113</v>
      </c>
      <c r="J44" s="8">
        <v>6</v>
      </c>
      <c r="K44" s="8">
        <v>678</v>
      </c>
    </row>
    <row r="45" spans="1:11" ht="14.25" customHeight="1">
      <c r="A45" s="8">
        <v>23368</v>
      </c>
      <c r="B45" s="8" t="s">
        <v>326</v>
      </c>
      <c r="C45" s="8" t="s">
        <v>327</v>
      </c>
      <c r="D45" s="8" t="s">
        <v>317</v>
      </c>
      <c r="E45" s="8" t="s">
        <v>318</v>
      </c>
      <c r="F45" s="8" t="s">
        <v>230</v>
      </c>
      <c r="G45" s="8">
        <v>41146</v>
      </c>
      <c r="H45" s="8">
        <v>8</v>
      </c>
      <c r="I45" s="8">
        <v>150</v>
      </c>
      <c r="J45" s="8">
        <v>4.5</v>
      </c>
      <c r="K45" s="8">
        <v>675</v>
      </c>
    </row>
    <row r="46" spans="1:11" ht="14.25" customHeight="1">
      <c r="A46" s="8">
        <v>23286</v>
      </c>
      <c r="B46" s="8" t="s">
        <v>328</v>
      </c>
      <c r="C46" s="8" t="s">
        <v>329</v>
      </c>
      <c r="D46" s="8" t="s">
        <v>245</v>
      </c>
      <c r="E46" s="8" t="s">
        <v>246</v>
      </c>
      <c r="F46" s="8" t="s">
        <v>224</v>
      </c>
      <c r="G46" s="8">
        <v>41129</v>
      </c>
      <c r="H46" s="8">
        <v>8</v>
      </c>
      <c r="I46" s="8">
        <v>69</v>
      </c>
      <c r="J46" s="8">
        <v>9</v>
      </c>
      <c r="K46" s="8">
        <v>621</v>
      </c>
    </row>
    <row r="47" spans="1:11" ht="14.25" customHeight="1">
      <c r="A47" s="8">
        <v>23373</v>
      </c>
      <c r="B47" s="8" t="s">
        <v>330</v>
      </c>
      <c r="C47" s="8" t="s">
        <v>331</v>
      </c>
      <c r="D47" s="8" t="s">
        <v>279</v>
      </c>
      <c r="E47" s="8" t="s">
        <v>280</v>
      </c>
      <c r="F47" s="8" t="s">
        <v>224</v>
      </c>
      <c r="G47" s="8">
        <v>41114</v>
      </c>
      <c r="H47" s="8">
        <v>7</v>
      </c>
      <c r="I47" s="8">
        <v>95</v>
      </c>
      <c r="J47" s="8">
        <v>6.5</v>
      </c>
      <c r="K47" s="8">
        <v>617.5</v>
      </c>
    </row>
    <row r="48" spans="1:11" ht="14.25" customHeight="1">
      <c r="A48" s="8">
        <v>23380</v>
      </c>
      <c r="B48" s="8" t="s">
        <v>332</v>
      </c>
      <c r="C48" s="8" t="s">
        <v>333</v>
      </c>
      <c r="D48" s="8" t="s">
        <v>320</v>
      </c>
      <c r="E48" s="8" t="s">
        <v>321</v>
      </c>
      <c r="F48" s="8" t="s">
        <v>230</v>
      </c>
      <c r="G48" s="8">
        <v>41112</v>
      </c>
      <c r="H48" s="8">
        <v>7</v>
      </c>
      <c r="I48" s="8">
        <v>95</v>
      </c>
      <c r="J48" s="8">
        <v>6.5</v>
      </c>
      <c r="K48" s="8">
        <v>617.5</v>
      </c>
    </row>
    <row r="49" spans="1:11" ht="14.25" customHeight="1">
      <c r="A49" s="8">
        <v>23284</v>
      </c>
      <c r="B49" s="8" t="s">
        <v>334</v>
      </c>
      <c r="C49" s="8" t="s">
        <v>335</v>
      </c>
      <c r="D49" s="8" t="s">
        <v>293</v>
      </c>
      <c r="E49" s="8" t="s">
        <v>294</v>
      </c>
      <c r="F49" s="8" t="s">
        <v>230</v>
      </c>
      <c r="G49" s="8">
        <v>41077</v>
      </c>
      <c r="H49" s="8">
        <v>6</v>
      </c>
      <c r="I49" s="8">
        <v>135</v>
      </c>
      <c r="J49" s="8">
        <v>4.5</v>
      </c>
      <c r="K49" s="8">
        <v>607.5</v>
      </c>
    </row>
    <row r="50" spans="1:11" ht="14.25" customHeight="1">
      <c r="A50" s="8">
        <v>23306</v>
      </c>
      <c r="B50" s="8" t="s">
        <v>336</v>
      </c>
      <c r="C50" s="8" t="s">
        <v>337</v>
      </c>
      <c r="D50" s="8" t="s">
        <v>279</v>
      </c>
      <c r="E50" s="8" t="s">
        <v>280</v>
      </c>
      <c r="F50" s="8" t="s">
        <v>224</v>
      </c>
      <c r="G50" s="8">
        <v>41068</v>
      </c>
      <c r="H50" s="8">
        <v>6</v>
      </c>
      <c r="I50" s="8">
        <v>93</v>
      </c>
      <c r="J50" s="8">
        <v>6.5</v>
      </c>
      <c r="K50" s="8">
        <v>604.5</v>
      </c>
    </row>
    <row r="51" spans="1:11" ht="14.25" customHeight="1">
      <c r="A51" s="8">
        <v>23281</v>
      </c>
      <c r="B51" s="8" t="s">
        <v>338</v>
      </c>
      <c r="C51" s="8" t="s">
        <v>339</v>
      </c>
      <c r="D51" s="8" t="s">
        <v>317</v>
      </c>
      <c r="E51" s="8" t="s">
        <v>318</v>
      </c>
      <c r="F51" s="8" t="s">
        <v>230</v>
      </c>
      <c r="G51" s="8">
        <v>41103</v>
      </c>
      <c r="H51" s="8">
        <v>7</v>
      </c>
      <c r="I51" s="8">
        <v>134</v>
      </c>
      <c r="J51" s="8">
        <v>4.5</v>
      </c>
      <c r="K51" s="8">
        <v>603</v>
      </c>
    </row>
    <row r="52" spans="1:11" ht="14.25" customHeight="1">
      <c r="A52" s="8">
        <v>23351</v>
      </c>
      <c r="B52" s="8" t="s">
        <v>340</v>
      </c>
      <c r="C52" s="8" t="s">
        <v>341</v>
      </c>
      <c r="D52" s="8" t="s">
        <v>307</v>
      </c>
      <c r="E52" s="8" t="s">
        <v>308</v>
      </c>
      <c r="F52" s="8" t="s">
        <v>224</v>
      </c>
      <c r="G52" s="8">
        <v>41124</v>
      </c>
      <c r="H52" s="8">
        <v>8</v>
      </c>
      <c r="I52" s="8">
        <v>151</v>
      </c>
      <c r="J52" s="8">
        <v>3.99</v>
      </c>
      <c r="K52" s="8">
        <v>602.49</v>
      </c>
    </row>
    <row r="53" spans="1:11" ht="14.25" customHeight="1">
      <c r="A53" s="8">
        <v>23282</v>
      </c>
      <c r="B53" s="8" t="s">
        <v>342</v>
      </c>
      <c r="C53" s="8" t="s">
        <v>343</v>
      </c>
      <c r="D53" s="8" t="s">
        <v>283</v>
      </c>
      <c r="E53" s="8" t="s">
        <v>284</v>
      </c>
      <c r="F53" s="8" t="s">
        <v>230</v>
      </c>
      <c r="G53" s="8">
        <v>41142</v>
      </c>
      <c r="H53" s="8">
        <v>8</v>
      </c>
      <c r="I53" s="8">
        <v>100</v>
      </c>
      <c r="J53" s="8">
        <v>6</v>
      </c>
      <c r="K53" s="8">
        <v>600</v>
      </c>
    </row>
    <row r="54" spans="1:11" ht="14.25" customHeight="1">
      <c r="A54" s="8">
        <v>23376</v>
      </c>
      <c r="B54" s="8" t="s">
        <v>344</v>
      </c>
      <c r="C54" s="8" t="s">
        <v>150</v>
      </c>
      <c r="D54" s="8" t="s">
        <v>265</v>
      </c>
      <c r="E54" s="8" t="s">
        <v>266</v>
      </c>
      <c r="F54" s="8" t="s">
        <v>227</v>
      </c>
      <c r="G54" s="8">
        <v>41113</v>
      </c>
      <c r="H54" s="8">
        <v>7</v>
      </c>
      <c r="I54" s="8">
        <v>85</v>
      </c>
      <c r="J54" s="8">
        <v>6.99</v>
      </c>
      <c r="K54" s="8">
        <v>594.15</v>
      </c>
    </row>
    <row r="55" spans="1:11" ht="14.25" customHeight="1">
      <c r="A55" s="8">
        <v>23354</v>
      </c>
      <c r="B55" s="8" t="s">
        <v>345</v>
      </c>
      <c r="C55" s="8" t="s">
        <v>346</v>
      </c>
      <c r="D55" s="8" t="s">
        <v>265</v>
      </c>
      <c r="E55" s="8" t="s">
        <v>266</v>
      </c>
      <c r="F55" s="8" t="s">
        <v>224</v>
      </c>
      <c r="G55" s="8">
        <v>41124</v>
      </c>
      <c r="H55" s="8">
        <v>8</v>
      </c>
      <c r="I55" s="8">
        <v>84</v>
      </c>
      <c r="J55" s="8">
        <v>6.99</v>
      </c>
      <c r="K55" s="8">
        <v>587.16</v>
      </c>
    </row>
    <row r="56" spans="1:11" ht="14.25" customHeight="1">
      <c r="A56" s="8">
        <v>23337</v>
      </c>
      <c r="B56" s="8" t="s">
        <v>347</v>
      </c>
      <c r="C56" s="8" t="s">
        <v>348</v>
      </c>
      <c r="D56" s="8" t="s">
        <v>265</v>
      </c>
      <c r="E56" s="8" t="s">
        <v>266</v>
      </c>
      <c r="F56" s="8" t="s">
        <v>230</v>
      </c>
      <c r="G56" s="8">
        <v>41097</v>
      </c>
      <c r="H56" s="8">
        <v>7</v>
      </c>
      <c r="I56" s="8">
        <v>82</v>
      </c>
      <c r="J56" s="8">
        <v>6.99</v>
      </c>
      <c r="K56" s="8">
        <v>573.18000000000006</v>
      </c>
    </row>
    <row r="57" spans="1:11" ht="14.25" customHeight="1">
      <c r="A57" s="8">
        <v>23326</v>
      </c>
      <c r="B57" s="8" t="s">
        <v>349</v>
      </c>
      <c r="C57" s="8" t="s">
        <v>350</v>
      </c>
      <c r="D57" s="8" t="s">
        <v>317</v>
      </c>
      <c r="E57" s="8" t="s">
        <v>318</v>
      </c>
      <c r="F57" s="8" t="s">
        <v>230</v>
      </c>
      <c r="G57" s="8">
        <v>41142</v>
      </c>
      <c r="H57" s="8">
        <v>8</v>
      </c>
      <c r="I57" s="8">
        <v>126</v>
      </c>
      <c r="J57" s="8">
        <v>4.5</v>
      </c>
      <c r="K57" s="8">
        <v>567</v>
      </c>
    </row>
    <row r="58" spans="1:11" ht="14.25" customHeight="1">
      <c r="A58" s="8">
        <v>23316</v>
      </c>
      <c r="B58" s="8" t="s">
        <v>351</v>
      </c>
      <c r="C58" s="8" t="s">
        <v>352</v>
      </c>
      <c r="D58" s="8" t="s">
        <v>307</v>
      </c>
      <c r="E58" s="8" t="s">
        <v>308</v>
      </c>
      <c r="F58" s="8" t="s">
        <v>230</v>
      </c>
      <c r="G58" s="8">
        <v>41061</v>
      </c>
      <c r="H58" s="8">
        <v>6</v>
      </c>
      <c r="I58" s="8">
        <v>137</v>
      </c>
      <c r="J58" s="8">
        <v>3.99</v>
      </c>
      <c r="K58" s="8">
        <v>546.63</v>
      </c>
    </row>
    <row r="59" spans="1:11" ht="14.25" customHeight="1">
      <c r="A59" s="8">
        <v>23362</v>
      </c>
      <c r="B59" s="8" t="s">
        <v>353</v>
      </c>
      <c r="C59" s="8" t="s">
        <v>354</v>
      </c>
      <c r="D59" s="8" t="s">
        <v>355</v>
      </c>
      <c r="E59" s="8" t="s">
        <v>356</v>
      </c>
      <c r="F59" s="8" t="s">
        <v>224</v>
      </c>
      <c r="G59" s="8">
        <v>41139</v>
      </c>
      <c r="H59" s="8">
        <v>8</v>
      </c>
      <c r="I59" s="8">
        <v>179</v>
      </c>
      <c r="J59" s="8">
        <v>3</v>
      </c>
      <c r="K59" s="8">
        <v>537</v>
      </c>
    </row>
    <row r="60" spans="1:11" ht="14.25" customHeight="1">
      <c r="A60" s="8">
        <v>23296</v>
      </c>
      <c r="B60" s="8" t="s">
        <v>357</v>
      </c>
      <c r="C60" s="8" t="s">
        <v>358</v>
      </c>
      <c r="D60" s="8" t="s">
        <v>222</v>
      </c>
      <c r="E60" s="8" t="s">
        <v>223</v>
      </c>
      <c r="F60" s="8" t="s">
        <v>230</v>
      </c>
      <c r="G60" s="8">
        <v>41068</v>
      </c>
      <c r="H60" s="8">
        <v>6</v>
      </c>
      <c r="I60" s="8">
        <v>37</v>
      </c>
      <c r="J60" s="8">
        <v>14.5</v>
      </c>
      <c r="K60" s="8">
        <v>536.5</v>
      </c>
    </row>
    <row r="61" spans="1:11" ht="14.25" customHeight="1">
      <c r="A61" s="8">
        <v>23352</v>
      </c>
      <c r="B61" s="8" t="s">
        <v>359</v>
      </c>
      <c r="C61" s="8" t="s">
        <v>360</v>
      </c>
      <c r="D61" s="8" t="s">
        <v>283</v>
      </c>
      <c r="E61" s="8" t="s">
        <v>284</v>
      </c>
      <c r="F61" s="8" t="s">
        <v>224</v>
      </c>
      <c r="G61" s="8">
        <v>41097</v>
      </c>
      <c r="H61" s="8">
        <v>7</v>
      </c>
      <c r="I61" s="8">
        <v>89</v>
      </c>
      <c r="J61" s="8">
        <v>6</v>
      </c>
      <c r="K61" s="8">
        <v>534</v>
      </c>
    </row>
    <row r="62" spans="1:11" ht="14.25" customHeight="1">
      <c r="A62" s="8">
        <v>23304</v>
      </c>
      <c r="B62" s="8" t="s">
        <v>361</v>
      </c>
      <c r="C62" s="8" t="s">
        <v>362</v>
      </c>
      <c r="D62" s="8" t="s">
        <v>307</v>
      </c>
      <c r="E62" s="8" t="s">
        <v>308</v>
      </c>
      <c r="F62" s="8" t="s">
        <v>230</v>
      </c>
      <c r="G62" s="8">
        <v>41061</v>
      </c>
      <c r="H62" s="8">
        <v>6</v>
      </c>
      <c r="I62" s="8">
        <v>131</v>
      </c>
      <c r="J62" s="8">
        <v>3.99</v>
      </c>
      <c r="K62" s="8">
        <v>522.69000000000005</v>
      </c>
    </row>
    <row r="63" spans="1:11" ht="14.25" customHeight="1">
      <c r="A63" s="8">
        <v>23369</v>
      </c>
      <c r="B63" s="8" t="s">
        <v>363</v>
      </c>
      <c r="C63" s="8" t="s">
        <v>364</v>
      </c>
      <c r="D63" s="8" t="s">
        <v>320</v>
      </c>
      <c r="E63" s="8" t="s">
        <v>321</v>
      </c>
      <c r="F63" s="8" t="s">
        <v>230</v>
      </c>
      <c r="G63" s="8">
        <v>41092</v>
      </c>
      <c r="H63" s="8">
        <v>7</v>
      </c>
      <c r="I63" s="8">
        <v>77</v>
      </c>
      <c r="J63" s="8">
        <v>6.5</v>
      </c>
      <c r="K63" s="8">
        <v>500.5</v>
      </c>
    </row>
    <row r="64" spans="1:11" ht="14.25" customHeight="1">
      <c r="A64" s="8">
        <v>23268</v>
      </c>
      <c r="B64" s="8" t="s">
        <v>365</v>
      </c>
      <c r="C64" s="8" t="s">
        <v>366</v>
      </c>
      <c r="D64" s="8" t="s">
        <v>283</v>
      </c>
      <c r="E64" s="8" t="s">
        <v>284</v>
      </c>
      <c r="F64" s="8" t="s">
        <v>224</v>
      </c>
      <c r="G64" s="8">
        <v>41102</v>
      </c>
      <c r="H64" s="8">
        <v>7</v>
      </c>
      <c r="I64" s="8">
        <v>82</v>
      </c>
      <c r="J64" s="8">
        <v>6</v>
      </c>
      <c r="K64" s="8">
        <v>492</v>
      </c>
    </row>
    <row r="65" spans="1:11" ht="14.25" customHeight="1">
      <c r="A65" s="8">
        <v>23315</v>
      </c>
      <c r="B65" s="8" t="s">
        <v>367</v>
      </c>
      <c r="C65" s="8" t="s">
        <v>240</v>
      </c>
      <c r="D65" s="8" t="s">
        <v>293</v>
      </c>
      <c r="E65" s="8" t="s">
        <v>294</v>
      </c>
      <c r="F65" s="8" t="s">
        <v>230</v>
      </c>
      <c r="G65" s="8">
        <v>41102</v>
      </c>
      <c r="H65" s="8">
        <v>7</v>
      </c>
      <c r="I65" s="8">
        <v>109</v>
      </c>
      <c r="J65" s="8">
        <v>4.5</v>
      </c>
      <c r="K65" s="8">
        <v>490.5</v>
      </c>
    </row>
    <row r="66" spans="1:11" ht="14.25" customHeight="1">
      <c r="A66" s="8">
        <v>23342</v>
      </c>
      <c r="B66" s="8" t="s">
        <v>368</v>
      </c>
      <c r="C66" s="8" t="s">
        <v>369</v>
      </c>
      <c r="D66" s="8" t="s">
        <v>307</v>
      </c>
      <c r="E66" s="8" t="s">
        <v>308</v>
      </c>
      <c r="F66" s="8" t="s">
        <v>224</v>
      </c>
      <c r="G66" s="8">
        <v>41088</v>
      </c>
      <c r="H66" s="8">
        <v>6</v>
      </c>
      <c r="I66" s="8">
        <v>122</v>
      </c>
      <c r="J66" s="8">
        <v>3.99</v>
      </c>
      <c r="K66" s="8">
        <v>486.78000000000003</v>
      </c>
    </row>
    <row r="67" spans="1:11" ht="14.25" customHeight="1">
      <c r="A67" s="8">
        <v>23333</v>
      </c>
      <c r="B67" s="8" t="s">
        <v>370</v>
      </c>
      <c r="C67" s="8" t="s">
        <v>298</v>
      </c>
      <c r="D67" s="8" t="s">
        <v>293</v>
      </c>
      <c r="E67" s="8" t="s">
        <v>294</v>
      </c>
      <c r="F67" s="8" t="s">
        <v>224</v>
      </c>
      <c r="G67" s="8">
        <v>41126</v>
      </c>
      <c r="H67" s="8">
        <v>8</v>
      </c>
      <c r="I67" s="8">
        <v>106</v>
      </c>
      <c r="J67" s="8">
        <v>4.5</v>
      </c>
      <c r="K67" s="8">
        <v>477</v>
      </c>
    </row>
    <row r="68" spans="1:11" ht="14.25" customHeight="1">
      <c r="A68" s="8">
        <v>23263</v>
      </c>
      <c r="B68" s="8" t="s">
        <v>371</v>
      </c>
      <c r="C68" s="8" t="s">
        <v>290</v>
      </c>
      <c r="D68" s="8" t="s">
        <v>279</v>
      </c>
      <c r="E68" s="8" t="s">
        <v>280</v>
      </c>
      <c r="F68" s="8" t="s">
        <v>224</v>
      </c>
      <c r="G68" s="8">
        <v>41096</v>
      </c>
      <c r="H68" s="8">
        <v>7</v>
      </c>
      <c r="I68" s="8">
        <v>73</v>
      </c>
      <c r="J68" s="8">
        <v>6.5</v>
      </c>
      <c r="K68" s="8">
        <v>474.5</v>
      </c>
    </row>
    <row r="69" spans="1:11" ht="14.25" customHeight="1">
      <c r="A69" s="8">
        <v>23270</v>
      </c>
      <c r="B69" s="8" t="s">
        <v>372</v>
      </c>
      <c r="C69" s="8" t="s">
        <v>373</v>
      </c>
      <c r="D69" s="8" t="s">
        <v>265</v>
      </c>
      <c r="E69" s="8" t="s">
        <v>266</v>
      </c>
      <c r="F69" s="8" t="s">
        <v>230</v>
      </c>
      <c r="G69" s="8">
        <v>41067</v>
      </c>
      <c r="H69" s="8">
        <v>6</v>
      </c>
      <c r="I69" s="8">
        <v>67</v>
      </c>
      <c r="J69" s="8">
        <v>6.99</v>
      </c>
      <c r="K69" s="8">
        <v>468.33000000000004</v>
      </c>
    </row>
    <row r="70" spans="1:11" ht="14.25" customHeight="1">
      <c r="A70" s="8">
        <v>23272</v>
      </c>
      <c r="B70" s="8" t="s">
        <v>374</v>
      </c>
      <c r="C70" s="8" t="s">
        <v>375</v>
      </c>
      <c r="D70" s="8" t="s">
        <v>279</v>
      </c>
      <c r="E70" s="8" t="s">
        <v>280</v>
      </c>
      <c r="F70" s="8" t="s">
        <v>227</v>
      </c>
      <c r="G70" s="8">
        <v>41121</v>
      </c>
      <c r="H70" s="8">
        <v>7</v>
      </c>
      <c r="I70" s="8">
        <v>71</v>
      </c>
      <c r="J70" s="8">
        <v>6.5</v>
      </c>
      <c r="K70" s="8">
        <v>461.5</v>
      </c>
    </row>
    <row r="71" spans="1:11" ht="14.25" customHeight="1">
      <c r="A71" s="8">
        <v>23274</v>
      </c>
      <c r="B71" s="8" t="s">
        <v>376</v>
      </c>
      <c r="C71" s="8" t="s">
        <v>377</v>
      </c>
      <c r="D71" s="8" t="s">
        <v>355</v>
      </c>
      <c r="E71" s="8" t="s">
        <v>356</v>
      </c>
      <c r="F71" s="8" t="s">
        <v>230</v>
      </c>
      <c r="G71" s="8">
        <v>41143</v>
      </c>
      <c r="H71" s="8">
        <v>8</v>
      </c>
      <c r="I71" s="8">
        <v>153</v>
      </c>
      <c r="J71" s="8">
        <v>3</v>
      </c>
      <c r="K71" s="8">
        <v>459</v>
      </c>
    </row>
    <row r="72" spans="1:11" ht="14.25" customHeight="1">
      <c r="A72" s="8">
        <v>23364</v>
      </c>
      <c r="B72" s="8" t="s">
        <v>378</v>
      </c>
      <c r="C72" s="8" t="s">
        <v>379</v>
      </c>
      <c r="D72" s="8" t="s">
        <v>245</v>
      </c>
      <c r="E72" s="8" t="s">
        <v>246</v>
      </c>
      <c r="F72" s="8" t="s">
        <v>224</v>
      </c>
      <c r="G72" s="8">
        <v>41093</v>
      </c>
      <c r="H72" s="8">
        <v>7</v>
      </c>
      <c r="I72" s="8">
        <v>47</v>
      </c>
      <c r="J72" s="8">
        <v>9</v>
      </c>
      <c r="K72" s="8">
        <v>423</v>
      </c>
    </row>
    <row r="73" spans="1:11" ht="14.25" customHeight="1">
      <c r="A73" s="8">
        <v>23276</v>
      </c>
      <c r="B73" s="8" t="s">
        <v>380</v>
      </c>
      <c r="C73" s="8" t="s">
        <v>381</v>
      </c>
      <c r="D73" s="8" t="s">
        <v>320</v>
      </c>
      <c r="E73" s="8" t="s">
        <v>321</v>
      </c>
      <c r="F73" s="8" t="s">
        <v>224</v>
      </c>
      <c r="G73" s="8">
        <v>41122</v>
      </c>
      <c r="H73" s="8">
        <v>8</v>
      </c>
      <c r="I73" s="8">
        <v>65</v>
      </c>
      <c r="J73" s="8">
        <v>6.5</v>
      </c>
      <c r="K73" s="8">
        <v>422.5</v>
      </c>
    </row>
    <row r="74" spans="1:11" ht="14.25" customHeight="1">
      <c r="A74" s="8">
        <v>23343</v>
      </c>
      <c r="B74" s="8" t="s">
        <v>382</v>
      </c>
      <c r="C74" s="8" t="s">
        <v>331</v>
      </c>
      <c r="D74" s="8" t="s">
        <v>241</v>
      </c>
      <c r="E74" s="8" t="s">
        <v>242</v>
      </c>
      <c r="F74" s="8" t="s">
        <v>224</v>
      </c>
      <c r="G74" s="8">
        <v>41144</v>
      </c>
      <c r="H74" s="8">
        <v>8</v>
      </c>
      <c r="I74" s="8">
        <v>42</v>
      </c>
      <c r="J74" s="8">
        <v>9.99</v>
      </c>
      <c r="K74" s="8">
        <v>419.58</v>
      </c>
    </row>
    <row r="75" spans="1:11" ht="14.25" customHeight="1">
      <c r="A75" s="8">
        <v>23344</v>
      </c>
      <c r="B75" s="8" t="s">
        <v>383</v>
      </c>
      <c r="C75" s="8" t="s">
        <v>384</v>
      </c>
      <c r="D75" s="8" t="s">
        <v>279</v>
      </c>
      <c r="E75" s="8" t="s">
        <v>280</v>
      </c>
      <c r="F75" s="8" t="s">
        <v>224</v>
      </c>
      <c r="G75" s="8">
        <v>41265</v>
      </c>
      <c r="H75" s="8">
        <v>12</v>
      </c>
      <c r="I75" s="8">
        <v>64</v>
      </c>
      <c r="J75" s="8">
        <v>6.5</v>
      </c>
      <c r="K75" s="8">
        <v>416</v>
      </c>
    </row>
    <row r="76" spans="1:11" ht="14.25" customHeight="1">
      <c r="A76" s="8">
        <v>23299</v>
      </c>
      <c r="B76" s="8" t="s">
        <v>385</v>
      </c>
      <c r="C76" s="8" t="s">
        <v>150</v>
      </c>
      <c r="D76" s="8" t="s">
        <v>307</v>
      </c>
      <c r="E76" s="8" t="s">
        <v>308</v>
      </c>
      <c r="F76" s="8" t="s">
        <v>230</v>
      </c>
      <c r="G76" s="8">
        <v>41087</v>
      </c>
      <c r="H76" s="8">
        <v>6</v>
      </c>
      <c r="I76" s="8">
        <v>104</v>
      </c>
      <c r="J76" s="8">
        <v>3.99</v>
      </c>
      <c r="K76" s="8">
        <v>414.96000000000004</v>
      </c>
    </row>
    <row r="77" spans="1:11" ht="14.25" customHeight="1">
      <c r="A77" s="8">
        <v>23310</v>
      </c>
      <c r="B77" s="8" t="s">
        <v>386</v>
      </c>
      <c r="C77" s="8" t="s">
        <v>232</v>
      </c>
      <c r="D77" s="8" t="s">
        <v>241</v>
      </c>
      <c r="E77" s="8" t="s">
        <v>242</v>
      </c>
      <c r="F77" s="8" t="s">
        <v>224</v>
      </c>
      <c r="G77" s="8">
        <v>41077</v>
      </c>
      <c r="H77" s="8">
        <v>6</v>
      </c>
      <c r="I77" s="8">
        <v>41</v>
      </c>
      <c r="J77" s="8">
        <v>9.99</v>
      </c>
      <c r="K77" s="8">
        <v>409.59000000000003</v>
      </c>
    </row>
    <row r="78" spans="1:11" ht="14.25" customHeight="1">
      <c r="A78" s="8">
        <v>23358</v>
      </c>
      <c r="B78" s="8" t="s">
        <v>387</v>
      </c>
      <c r="C78" s="8" t="s">
        <v>388</v>
      </c>
      <c r="D78" s="8" t="s">
        <v>241</v>
      </c>
      <c r="E78" s="8" t="s">
        <v>242</v>
      </c>
      <c r="F78" s="8" t="s">
        <v>230</v>
      </c>
      <c r="G78" s="8">
        <v>41071</v>
      </c>
      <c r="H78" s="8">
        <v>6</v>
      </c>
      <c r="I78" s="8">
        <v>41</v>
      </c>
      <c r="J78" s="8">
        <v>9.99</v>
      </c>
      <c r="K78" s="8">
        <v>409.59000000000003</v>
      </c>
    </row>
    <row r="79" spans="1:11" ht="14.25" customHeight="1">
      <c r="A79" s="8">
        <v>23323</v>
      </c>
      <c r="B79" s="8" t="s">
        <v>389</v>
      </c>
      <c r="C79" s="8" t="s">
        <v>390</v>
      </c>
      <c r="D79" s="8" t="s">
        <v>355</v>
      </c>
      <c r="E79" s="8" t="s">
        <v>356</v>
      </c>
      <c r="F79" s="8" t="s">
        <v>224</v>
      </c>
      <c r="G79" s="8">
        <v>41272</v>
      </c>
      <c r="H79" s="8">
        <v>12</v>
      </c>
      <c r="I79" s="8">
        <v>135</v>
      </c>
      <c r="J79" s="8">
        <v>3</v>
      </c>
      <c r="K79" s="8">
        <v>405</v>
      </c>
    </row>
    <row r="80" spans="1:11" ht="14.25" customHeight="1">
      <c r="A80" s="8">
        <v>23267</v>
      </c>
      <c r="B80" s="8" t="s">
        <v>391</v>
      </c>
      <c r="C80" s="8" t="s">
        <v>392</v>
      </c>
      <c r="D80" s="8" t="s">
        <v>355</v>
      </c>
      <c r="E80" s="8" t="s">
        <v>356</v>
      </c>
      <c r="F80" s="8" t="s">
        <v>224</v>
      </c>
      <c r="G80" s="8">
        <v>41101</v>
      </c>
      <c r="H80" s="8">
        <v>7</v>
      </c>
      <c r="I80" s="8">
        <v>129</v>
      </c>
      <c r="J80" s="8">
        <v>3</v>
      </c>
      <c r="K80" s="8">
        <v>387</v>
      </c>
    </row>
    <row r="81" spans="1:11" ht="14.25" customHeight="1">
      <c r="A81" s="8">
        <v>23340</v>
      </c>
      <c r="B81" s="8" t="s">
        <v>393</v>
      </c>
      <c r="C81" s="8" t="s">
        <v>394</v>
      </c>
      <c r="D81" s="8" t="s">
        <v>317</v>
      </c>
      <c r="E81" s="8" t="s">
        <v>318</v>
      </c>
      <c r="F81" s="8" t="s">
        <v>224</v>
      </c>
      <c r="G81" s="8">
        <v>41095</v>
      </c>
      <c r="H81" s="8">
        <v>7</v>
      </c>
      <c r="I81" s="8">
        <v>85</v>
      </c>
      <c r="J81" s="8">
        <v>4.5</v>
      </c>
      <c r="K81" s="8">
        <v>382.5</v>
      </c>
    </row>
    <row r="82" spans="1:11" ht="14.25" customHeight="1">
      <c r="A82" s="8">
        <v>23269</v>
      </c>
      <c r="B82" s="8" t="s">
        <v>395</v>
      </c>
      <c r="C82" s="8" t="s">
        <v>377</v>
      </c>
      <c r="D82" s="8" t="s">
        <v>355</v>
      </c>
      <c r="E82" s="8" t="s">
        <v>356</v>
      </c>
      <c r="F82" s="8" t="s">
        <v>224</v>
      </c>
      <c r="G82" s="8">
        <v>41063</v>
      </c>
      <c r="H82" s="8">
        <v>6</v>
      </c>
      <c r="I82" s="8">
        <v>116</v>
      </c>
      <c r="J82" s="8">
        <v>3</v>
      </c>
      <c r="K82" s="8">
        <v>348</v>
      </c>
    </row>
    <row r="83" spans="1:11" ht="14.25" customHeight="1">
      <c r="A83" s="8">
        <v>23308</v>
      </c>
      <c r="B83" s="8" t="s">
        <v>396</v>
      </c>
      <c r="C83" s="8" t="s">
        <v>397</v>
      </c>
      <c r="D83" s="8" t="s">
        <v>355</v>
      </c>
      <c r="E83" s="8" t="s">
        <v>356</v>
      </c>
      <c r="F83" s="8" t="s">
        <v>230</v>
      </c>
      <c r="G83" s="8">
        <v>41099</v>
      </c>
      <c r="H83" s="8">
        <v>7</v>
      </c>
      <c r="I83" s="8">
        <v>112</v>
      </c>
      <c r="J83" s="8">
        <v>3</v>
      </c>
      <c r="K83" s="8">
        <v>336</v>
      </c>
    </row>
    <row r="84" spans="1:11" ht="14.25" customHeight="1">
      <c r="A84" s="8">
        <v>23356</v>
      </c>
      <c r="B84" s="8" t="s">
        <v>398</v>
      </c>
      <c r="C84" s="8" t="s">
        <v>399</v>
      </c>
      <c r="D84" s="8" t="s">
        <v>307</v>
      </c>
      <c r="E84" s="8" t="s">
        <v>308</v>
      </c>
      <c r="F84" s="8" t="s">
        <v>224</v>
      </c>
      <c r="G84" s="8">
        <v>41081</v>
      </c>
      <c r="H84" s="8">
        <v>6</v>
      </c>
      <c r="I84" s="8">
        <v>80</v>
      </c>
      <c r="J84" s="8">
        <v>3.99</v>
      </c>
      <c r="K84" s="8">
        <v>319.20000000000005</v>
      </c>
    </row>
    <row r="85" spans="1:11" ht="14.25" customHeight="1">
      <c r="A85" s="8">
        <v>23318</v>
      </c>
      <c r="B85" s="8" t="s">
        <v>400</v>
      </c>
      <c r="C85" s="8" t="s">
        <v>401</v>
      </c>
      <c r="D85" s="8" t="s">
        <v>279</v>
      </c>
      <c r="E85" s="8" t="s">
        <v>280</v>
      </c>
      <c r="F85" s="8" t="s">
        <v>224</v>
      </c>
      <c r="G85" s="8">
        <v>41099</v>
      </c>
      <c r="H85" s="8">
        <v>7</v>
      </c>
      <c r="I85" s="8">
        <v>48</v>
      </c>
      <c r="J85" s="8">
        <v>6.5</v>
      </c>
      <c r="K85" s="8">
        <v>312</v>
      </c>
    </row>
    <row r="86" spans="1:11" ht="14.25" customHeight="1">
      <c r="A86" s="8">
        <v>23357</v>
      </c>
      <c r="B86" s="8" t="s">
        <v>402</v>
      </c>
      <c r="C86" s="8" t="s">
        <v>358</v>
      </c>
      <c r="D86" s="8" t="s">
        <v>283</v>
      </c>
      <c r="E86" s="8" t="s">
        <v>284</v>
      </c>
      <c r="F86" s="8" t="s">
        <v>230</v>
      </c>
      <c r="G86" s="8">
        <v>41107</v>
      </c>
      <c r="H86" s="8">
        <v>7</v>
      </c>
      <c r="I86" s="8">
        <v>50</v>
      </c>
      <c r="J86" s="8">
        <v>6</v>
      </c>
      <c r="K86" s="8">
        <v>300</v>
      </c>
    </row>
    <row r="87" spans="1:11" ht="14.25" customHeight="1">
      <c r="A87" s="8">
        <v>23377</v>
      </c>
      <c r="B87" s="8" t="s">
        <v>403</v>
      </c>
      <c r="C87" s="8" t="s">
        <v>346</v>
      </c>
      <c r="D87" s="8" t="s">
        <v>320</v>
      </c>
      <c r="E87" s="8" t="s">
        <v>321</v>
      </c>
      <c r="F87" s="8" t="s">
        <v>224</v>
      </c>
      <c r="G87" s="8">
        <v>41075</v>
      </c>
      <c r="H87" s="8">
        <v>6</v>
      </c>
      <c r="I87" s="8">
        <v>43</v>
      </c>
      <c r="J87" s="8">
        <v>6.5</v>
      </c>
      <c r="K87" s="8">
        <v>279.5</v>
      </c>
    </row>
    <row r="88" spans="1:11" ht="14.25" customHeight="1">
      <c r="A88" s="8">
        <v>23311</v>
      </c>
      <c r="B88" s="8" t="s">
        <v>404</v>
      </c>
      <c r="C88" s="8" t="s">
        <v>405</v>
      </c>
      <c r="D88" s="8" t="s">
        <v>222</v>
      </c>
      <c r="E88" s="8" t="s">
        <v>223</v>
      </c>
      <c r="F88" s="8" t="s">
        <v>230</v>
      </c>
      <c r="G88" s="8">
        <v>41072</v>
      </c>
      <c r="H88" s="8">
        <v>6</v>
      </c>
      <c r="I88" s="8">
        <v>18</v>
      </c>
      <c r="J88" s="8">
        <v>14.5</v>
      </c>
      <c r="K88" s="8">
        <v>261</v>
      </c>
    </row>
    <row r="89" spans="1:11" ht="14.25" customHeight="1">
      <c r="A89" s="8">
        <v>23379</v>
      </c>
      <c r="B89" s="8" t="s">
        <v>406</v>
      </c>
      <c r="C89" s="8" t="s">
        <v>407</v>
      </c>
      <c r="D89" s="8" t="s">
        <v>307</v>
      </c>
      <c r="E89" s="8" t="s">
        <v>308</v>
      </c>
      <c r="F89" s="8" t="s">
        <v>224</v>
      </c>
      <c r="G89" s="8">
        <v>41270</v>
      </c>
      <c r="H89" s="8">
        <v>12</v>
      </c>
      <c r="I89" s="8">
        <v>65</v>
      </c>
      <c r="J89" s="8">
        <v>3.99</v>
      </c>
      <c r="K89" s="8">
        <v>259.35000000000002</v>
      </c>
    </row>
    <row r="90" spans="1:11" ht="14.25" customHeight="1">
      <c r="A90" s="8">
        <v>23360</v>
      </c>
      <c r="B90" s="8" t="s">
        <v>408</v>
      </c>
      <c r="C90" s="8" t="s">
        <v>392</v>
      </c>
      <c r="D90" s="8" t="s">
        <v>265</v>
      </c>
      <c r="E90" s="8" t="s">
        <v>266</v>
      </c>
      <c r="F90" s="8" t="s">
        <v>224</v>
      </c>
      <c r="G90" s="8">
        <v>41073</v>
      </c>
      <c r="H90" s="8">
        <v>6</v>
      </c>
      <c r="I90" s="8">
        <v>37</v>
      </c>
      <c r="J90" s="8">
        <v>6.99</v>
      </c>
      <c r="K90" s="8">
        <v>258.63</v>
      </c>
    </row>
    <row r="91" spans="1:11" ht="14.25" customHeight="1">
      <c r="A91" s="8">
        <v>23339</v>
      </c>
      <c r="B91" s="8" t="s">
        <v>409</v>
      </c>
      <c r="C91" s="8" t="s">
        <v>410</v>
      </c>
      <c r="D91" s="8" t="s">
        <v>283</v>
      </c>
      <c r="E91" s="8" t="s">
        <v>284</v>
      </c>
      <c r="F91" s="8" t="s">
        <v>224</v>
      </c>
      <c r="G91" s="8">
        <v>41101</v>
      </c>
      <c r="H91" s="8">
        <v>7</v>
      </c>
      <c r="I91" s="8">
        <v>41</v>
      </c>
      <c r="J91" s="8">
        <v>6</v>
      </c>
      <c r="K91" s="8">
        <v>246</v>
      </c>
    </row>
    <row r="92" spans="1:11" ht="14.25" customHeight="1">
      <c r="A92" s="8">
        <v>23341</v>
      </c>
      <c r="B92" s="8" t="s">
        <v>411</v>
      </c>
      <c r="C92" s="8" t="s">
        <v>412</v>
      </c>
      <c r="D92" s="8" t="s">
        <v>355</v>
      </c>
      <c r="E92" s="8" t="s">
        <v>356</v>
      </c>
      <c r="F92" s="8" t="s">
        <v>230</v>
      </c>
      <c r="G92" s="8">
        <v>41026</v>
      </c>
      <c r="H92" s="8">
        <v>4</v>
      </c>
      <c r="I92" s="8">
        <v>77</v>
      </c>
      <c r="J92" s="8">
        <v>3</v>
      </c>
      <c r="K92" s="8">
        <v>231</v>
      </c>
    </row>
    <row r="93" spans="1:11" ht="14.25" customHeight="1">
      <c r="A93" s="8">
        <v>23374</v>
      </c>
      <c r="B93" s="8" t="s">
        <v>413</v>
      </c>
      <c r="C93" s="8" t="s">
        <v>414</v>
      </c>
      <c r="D93" s="8" t="s">
        <v>307</v>
      </c>
      <c r="E93" s="8" t="s">
        <v>308</v>
      </c>
      <c r="F93" s="8" t="s">
        <v>224</v>
      </c>
      <c r="G93" s="8">
        <v>41257</v>
      </c>
      <c r="H93" s="8">
        <v>12</v>
      </c>
      <c r="I93" s="8">
        <v>57</v>
      </c>
      <c r="J93" s="8">
        <v>3.99</v>
      </c>
      <c r="K93" s="8">
        <v>227.43</v>
      </c>
    </row>
    <row r="94" spans="1:11" ht="14.25" customHeight="1">
      <c r="A94" s="8">
        <v>23273</v>
      </c>
      <c r="B94" s="8" t="s">
        <v>415</v>
      </c>
      <c r="C94" s="8" t="s">
        <v>416</v>
      </c>
      <c r="D94" s="8" t="s">
        <v>241</v>
      </c>
      <c r="E94" s="8" t="s">
        <v>242</v>
      </c>
      <c r="F94" s="8" t="s">
        <v>224</v>
      </c>
      <c r="G94" s="8">
        <v>41256</v>
      </c>
      <c r="H94" s="8">
        <v>12</v>
      </c>
      <c r="I94" s="8">
        <v>22</v>
      </c>
      <c r="J94" s="8">
        <v>9.99</v>
      </c>
      <c r="K94" s="8">
        <v>219.78</v>
      </c>
    </row>
    <row r="95" spans="1:11" ht="14.25" customHeight="1">
      <c r="A95" s="8">
        <v>23280</v>
      </c>
      <c r="B95" s="8" t="s">
        <v>417</v>
      </c>
      <c r="C95" s="8" t="s">
        <v>240</v>
      </c>
      <c r="D95" s="8" t="s">
        <v>265</v>
      </c>
      <c r="E95" s="8" t="s">
        <v>266</v>
      </c>
      <c r="F95" s="8" t="s">
        <v>224</v>
      </c>
      <c r="G95" s="8">
        <v>41002</v>
      </c>
      <c r="H95" s="8">
        <v>4</v>
      </c>
      <c r="I95" s="8">
        <v>30</v>
      </c>
      <c r="J95" s="8">
        <v>6.99</v>
      </c>
      <c r="K95" s="8">
        <v>209.70000000000002</v>
      </c>
    </row>
    <row r="96" spans="1:11" ht="14.25" customHeight="1">
      <c r="A96" s="8">
        <v>23370</v>
      </c>
      <c r="B96" s="8" t="s">
        <v>418</v>
      </c>
      <c r="C96" s="8" t="s">
        <v>282</v>
      </c>
      <c r="D96" s="8" t="s">
        <v>355</v>
      </c>
      <c r="E96" s="8" t="s">
        <v>356</v>
      </c>
      <c r="F96" s="8" t="s">
        <v>230</v>
      </c>
      <c r="G96" s="8">
        <v>41028</v>
      </c>
      <c r="H96" s="8">
        <v>4</v>
      </c>
      <c r="I96" s="8">
        <v>63</v>
      </c>
      <c r="J96" s="8">
        <v>3</v>
      </c>
      <c r="K96" s="8">
        <v>189</v>
      </c>
    </row>
    <row r="97" spans="1:11" ht="14.25" customHeight="1">
      <c r="A97" s="8">
        <v>23372</v>
      </c>
      <c r="B97" s="8" t="s">
        <v>419</v>
      </c>
      <c r="C97" s="8" t="s">
        <v>420</v>
      </c>
      <c r="D97" s="8" t="s">
        <v>320</v>
      </c>
      <c r="E97" s="8" t="s">
        <v>321</v>
      </c>
      <c r="F97" s="8" t="s">
        <v>224</v>
      </c>
      <c r="G97" s="8">
        <v>41255</v>
      </c>
      <c r="H97" s="8">
        <v>12</v>
      </c>
      <c r="I97" s="8">
        <v>22</v>
      </c>
      <c r="J97" s="8">
        <v>6.5</v>
      </c>
      <c r="K97" s="8">
        <v>143</v>
      </c>
    </row>
    <row r="98" spans="1:11" ht="14.25" customHeight="1">
      <c r="A98" s="8">
        <v>23265</v>
      </c>
      <c r="B98" s="8" t="s">
        <v>421</v>
      </c>
      <c r="C98" s="8" t="s">
        <v>422</v>
      </c>
      <c r="D98" s="8" t="s">
        <v>241</v>
      </c>
      <c r="E98" s="8" t="s">
        <v>242</v>
      </c>
      <c r="F98" s="8" t="s">
        <v>230</v>
      </c>
      <c r="G98" s="8">
        <v>41248</v>
      </c>
      <c r="H98" s="8">
        <v>12</v>
      </c>
      <c r="I98" s="8">
        <v>14</v>
      </c>
      <c r="J98" s="8">
        <v>9.99</v>
      </c>
      <c r="K98" s="8">
        <v>139.86000000000001</v>
      </c>
    </row>
    <row r="99" spans="1:11" ht="14.25" customHeight="1">
      <c r="A99" s="8">
        <v>23346</v>
      </c>
      <c r="B99" s="8" t="s">
        <v>423</v>
      </c>
      <c r="C99" s="8" t="s">
        <v>339</v>
      </c>
      <c r="D99" s="8" t="s">
        <v>241</v>
      </c>
      <c r="E99" s="8" t="s">
        <v>242</v>
      </c>
      <c r="F99" s="8" t="s">
        <v>224</v>
      </c>
      <c r="G99" s="8">
        <v>41119</v>
      </c>
      <c r="H99" s="8">
        <v>7</v>
      </c>
      <c r="I99" s="8">
        <v>13</v>
      </c>
      <c r="J99" s="8">
        <v>9.99</v>
      </c>
      <c r="K99" s="8">
        <v>129.87</v>
      </c>
    </row>
    <row r="100" spans="1:11" ht="14.25" customHeight="1">
      <c r="A100" s="8">
        <v>23312</v>
      </c>
      <c r="B100" s="8" t="s">
        <v>424</v>
      </c>
      <c r="C100" s="8" t="s">
        <v>425</v>
      </c>
      <c r="D100" s="8" t="s">
        <v>307</v>
      </c>
      <c r="E100" s="8" t="s">
        <v>308</v>
      </c>
      <c r="F100" s="8" t="s">
        <v>224</v>
      </c>
      <c r="G100" s="8">
        <v>41096</v>
      </c>
      <c r="H100" s="8">
        <v>7</v>
      </c>
      <c r="I100" s="8">
        <v>28</v>
      </c>
      <c r="J100" s="8">
        <v>3.99</v>
      </c>
      <c r="K100" s="8">
        <v>111.72</v>
      </c>
    </row>
    <row r="101" spans="1:11" ht="14.25" customHeight="1">
      <c r="A101" s="8">
        <v>23355</v>
      </c>
      <c r="B101" s="8" t="s">
        <v>426</v>
      </c>
      <c r="C101" s="8" t="s">
        <v>335</v>
      </c>
      <c r="D101" s="8" t="s">
        <v>293</v>
      </c>
      <c r="E101" s="8" t="s">
        <v>294</v>
      </c>
      <c r="F101" s="8" t="s">
        <v>224</v>
      </c>
      <c r="G101" s="8">
        <v>41026</v>
      </c>
      <c r="H101" s="8">
        <v>4</v>
      </c>
      <c r="I101" s="8">
        <v>16</v>
      </c>
      <c r="J101" s="8">
        <v>4.5</v>
      </c>
      <c r="K101" s="8">
        <v>72</v>
      </c>
    </row>
    <row r="102" spans="1:11" ht="14.25" customHeight="1">
      <c r="A102" s="8">
        <v>23322</v>
      </c>
      <c r="B102" s="8" t="s">
        <v>427</v>
      </c>
      <c r="C102" s="8" t="s">
        <v>296</v>
      </c>
      <c r="D102" s="8" t="s">
        <v>355</v>
      </c>
      <c r="E102" s="8" t="s">
        <v>356</v>
      </c>
      <c r="F102" s="8" t="s">
        <v>230</v>
      </c>
      <c r="G102" s="8">
        <v>41009</v>
      </c>
      <c r="H102" s="8">
        <v>4</v>
      </c>
      <c r="I102" s="8">
        <v>20</v>
      </c>
      <c r="J102" s="8">
        <v>3</v>
      </c>
      <c r="K102" s="8">
        <v>60</v>
      </c>
    </row>
    <row r="103" spans="1:11" ht="14.25" customHeight="1">
      <c r="A103" s="8">
        <v>23298</v>
      </c>
      <c r="B103" s="8" t="s">
        <v>428</v>
      </c>
      <c r="C103" s="8" t="s">
        <v>429</v>
      </c>
      <c r="D103" s="8" t="s">
        <v>293</v>
      </c>
      <c r="E103" s="8" t="s">
        <v>294</v>
      </c>
      <c r="F103" s="8" t="s">
        <v>227</v>
      </c>
      <c r="G103" s="8">
        <v>41118</v>
      </c>
      <c r="H103" s="8">
        <v>7</v>
      </c>
      <c r="I103" s="8">
        <v>12</v>
      </c>
      <c r="J103" s="8">
        <v>4.5</v>
      </c>
      <c r="K103" s="8">
        <v>54</v>
      </c>
    </row>
    <row r="104" spans="1:11" ht="14.25" customHeight="1">
      <c r="A104" s="8">
        <v>23367</v>
      </c>
      <c r="B104" s="8" t="s">
        <v>430</v>
      </c>
      <c r="C104" s="8" t="s">
        <v>431</v>
      </c>
      <c r="D104" s="8" t="s">
        <v>293</v>
      </c>
      <c r="E104" s="8" t="s">
        <v>294</v>
      </c>
      <c r="F104" s="8" t="s">
        <v>230</v>
      </c>
      <c r="G104" s="8">
        <v>41023</v>
      </c>
      <c r="H104" s="8">
        <v>4</v>
      </c>
      <c r="I104" s="8">
        <v>10</v>
      </c>
      <c r="J104" s="8">
        <v>4.5</v>
      </c>
      <c r="K104" s="8">
        <v>45</v>
      </c>
    </row>
    <row r="105" spans="1:11" ht="14.25" customHeight="1">
      <c r="A105" s="8">
        <v>23334</v>
      </c>
      <c r="B105" s="8" t="s">
        <v>432</v>
      </c>
      <c r="C105" s="8" t="s">
        <v>327</v>
      </c>
      <c r="D105" s="8" t="s">
        <v>355</v>
      </c>
      <c r="E105" s="8" t="s">
        <v>356</v>
      </c>
      <c r="F105" s="8" t="s">
        <v>224</v>
      </c>
      <c r="G105" s="8">
        <v>41260</v>
      </c>
      <c r="H105" s="8">
        <v>12</v>
      </c>
      <c r="I105" s="8">
        <v>14</v>
      </c>
      <c r="J105" s="8">
        <v>3</v>
      </c>
      <c r="K105" s="8">
        <v>42</v>
      </c>
    </row>
    <row r="106" spans="1:11" ht="14.25" customHeight="1">
      <c r="A106" s="8">
        <v>23285</v>
      </c>
      <c r="B106" s="8" t="s">
        <v>433</v>
      </c>
      <c r="C106" s="8" t="s">
        <v>346</v>
      </c>
      <c r="D106" s="8" t="s">
        <v>317</v>
      </c>
      <c r="E106" s="8" t="s">
        <v>318</v>
      </c>
      <c r="F106" s="8" t="s">
        <v>230</v>
      </c>
      <c r="G106" s="8">
        <v>41114</v>
      </c>
      <c r="H106" s="8">
        <v>7</v>
      </c>
      <c r="I106" s="8">
        <v>9</v>
      </c>
      <c r="J106" s="8">
        <v>4.5</v>
      </c>
      <c r="K106" s="8">
        <v>40.5</v>
      </c>
    </row>
    <row r="107" spans="1:11" ht="14.25" customHeight="1">
      <c r="A107" s="8">
        <v>23375</v>
      </c>
      <c r="B107" s="8" t="s">
        <v>434</v>
      </c>
      <c r="C107" s="8" t="s">
        <v>335</v>
      </c>
      <c r="D107" s="8" t="s">
        <v>265</v>
      </c>
      <c r="E107" s="8" t="s">
        <v>266</v>
      </c>
      <c r="F107" s="8" t="s">
        <v>230</v>
      </c>
      <c r="G107" s="8">
        <v>41029</v>
      </c>
      <c r="H107" s="8">
        <v>4</v>
      </c>
      <c r="I107" s="8">
        <v>5</v>
      </c>
      <c r="J107" s="8">
        <v>6.99</v>
      </c>
      <c r="K107" s="8">
        <v>34.950000000000003</v>
      </c>
    </row>
    <row r="108" spans="1:11" ht="14.25" customHeight="1">
      <c r="A108" s="8">
        <v>23336</v>
      </c>
      <c r="B108" s="8" t="s">
        <v>435</v>
      </c>
      <c r="C108" s="8" t="s">
        <v>436</v>
      </c>
      <c r="D108" s="8" t="s">
        <v>317</v>
      </c>
      <c r="E108" s="8" t="s">
        <v>318</v>
      </c>
      <c r="F108" s="8" t="s">
        <v>230</v>
      </c>
      <c r="G108" s="8">
        <v>41091</v>
      </c>
      <c r="H108" s="8">
        <v>7</v>
      </c>
      <c r="I108" s="8">
        <v>7</v>
      </c>
      <c r="J108" s="8">
        <v>4.5</v>
      </c>
      <c r="K108" s="8">
        <v>31.5</v>
      </c>
    </row>
    <row r="109" spans="1:11" ht="14.25" customHeight="1">
      <c r="A109" s="8">
        <v>23279</v>
      </c>
      <c r="B109" s="8" t="s">
        <v>437</v>
      </c>
      <c r="C109" s="8" t="s">
        <v>410</v>
      </c>
      <c r="D109" s="8" t="s">
        <v>355</v>
      </c>
      <c r="E109" s="8" t="s">
        <v>356</v>
      </c>
      <c r="F109" s="8" t="s">
        <v>224</v>
      </c>
      <c r="G109" s="8">
        <v>41020</v>
      </c>
      <c r="H109" s="8">
        <v>4</v>
      </c>
      <c r="I109" s="8">
        <v>10</v>
      </c>
      <c r="J109" s="8">
        <v>3</v>
      </c>
      <c r="K109" s="8">
        <v>30</v>
      </c>
    </row>
    <row r="110" spans="1:11" ht="14.25" customHeight="1"/>
    <row r="111" spans="1:11" ht="14.25" customHeight="1"/>
    <row r="112" spans="1:11"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tabSelected="1" workbookViewId="0">
      <selection activeCell="N29" sqref="N29"/>
    </sheetView>
  </sheetViews>
  <sheetFormatPr defaultColWidth="14.42578125" defaultRowHeight="15" customHeight="1"/>
  <cols>
    <col min="1" max="1" width="6.5703125" customWidth="1"/>
    <col min="2" max="2" width="14" customWidth="1"/>
    <col min="3" max="3" width="19.7109375" customWidth="1"/>
    <col min="4" max="4" width="16.140625" customWidth="1"/>
    <col min="5" max="5" width="13.28515625" customWidth="1"/>
    <col min="6" max="7" width="8.85546875" customWidth="1"/>
    <col min="8" max="8" width="8.7109375" customWidth="1"/>
    <col min="9" max="9" width="18.140625" customWidth="1"/>
    <col min="10" max="10" width="20" customWidth="1"/>
    <col min="11" max="11" width="16.85546875" customWidth="1"/>
    <col min="12" max="12" width="13" customWidth="1"/>
    <col min="13" max="26" width="8.7109375" customWidth="1"/>
  </cols>
  <sheetData>
    <row r="1" spans="2:12" ht="14.25" customHeight="1"/>
    <row r="2" spans="2:12" ht="14.25" customHeight="1">
      <c r="B2" s="42" t="s">
        <v>48</v>
      </c>
    </row>
    <row r="3" spans="2:12" ht="15" customHeight="1">
      <c r="B3" s="87" t="s">
        <v>438</v>
      </c>
      <c r="C3" s="71"/>
      <c r="D3" s="71"/>
      <c r="E3" s="71"/>
      <c r="F3" s="72"/>
    </row>
    <row r="4" spans="2:12" ht="14.25" customHeight="1">
      <c r="B4" s="73"/>
      <c r="C4" s="60"/>
      <c r="D4" s="60"/>
      <c r="E4" s="60"/>
      <c r="F4" s="69"/>
    </row>
    <row r="5" spans="2:12" ht="14.25" customHeight="1">
      <c r="B5" s="73"/>
      <c r="C5" s="60"/>
      <c r="D5" s="60"/>
      <c r="E5" s="60"/>
      <c r="F5" s="69"/>
    </row>
    <row r="6" spans="2:12" ht="14.25" customHeight="1">
      <c r="B6" s="74"/>
      <c r="C6" s="62"/>
      <c r="D6" s="62"/>
      <c r="E6" s="62"/>
      <c r="F6" s="75"/>
    </row>
    <row r="7" spans="2:12" ht="14.25" customHeight="1">
      <c r="B7" s="43"/>
      <c r="C7" s="43"/>
      <c r="D7" s="43"/>
      <c r="E7" s="43"/>
      <c r="F7" s="43"/>
    </row>
    <row r="8" spans="2:12" ht="14.25" customHeight="1">
      <c r="B8" s="44" t="s">
        <v>439</v>
      </c>
      <c r="I8" s="44" t="s">
        <v>440</v>
      </c>
    </row>
    <row r="9" spans="2:12" ht="14.25" customHeight="1">
      <c r="B9" s="15" t="s">
        <v>198</v>
      </c>
      <c r="C9" s="15" t="s">
        <v>203</v>
      </c>
      <c r="I9" s="45" t="s">
        <v>198</v>
      </c>
      <c r="J9" s="45" t="s">
        <v>203</v>
      </c>
    </row>
    <row r="10" spans="2:12" ht="14.25" customHeight="1">
      <c r="B10" s="15">
        <v>23265</v>
      </c>
      <c r="C10" s="10" t="str">
        <f>VLOOKUP(B10,utiva_table,6,FALSE)</f>
        <v>Retail</v>
      </c>
      <c r="I10" s="45">
        <v>23265</v>
      </c>
      <c r="J10" s="45" t="str">
        <f>INDEX(DataSet!F1:F109,MATCH('VlookUp_Index&amp;Match'!I10,DataSet!A1:A109,0))</f>
        <v>Retail</v>
      </c>
    </row>
    <row r="11" spans="2:12" ht="14.25" customHeight="1">
      <c r="B11" s="15">
        <v>23378</v>
      </c>
      <c r="C11" s="10" t="str">
        <f>VLOOKUP(B11,utiva_table,6,FALSE)</f>
        <v>Online</v>
      </c>
      <c r="I11" s="45">
        <v>23378</v>
      </c>
      <c r="J11" s="45" t="str">
        <f>INDEX(DataSet!F2:F110,MATCH('VlookUp_Index&amp;Match'!I11,DataSet!A2:A110,0))</f>
        <v>Online</v>
      </c>
    </row>
    <row r="12" spans="2:12" ht="14.25" customHeight="1">
      <c r="B12" s="15">
        <v>23288</v>
      </c>
      <c r="C12" s="10" t="str">
        <f>VLOOKUP(B12,utiva_table,6,FALSE)</f>
        <v>Direct</v>
      </c>
      <c r="I12" s="45">
        <v>23288</v>
      </c>
      <c r="J12" s="45" t="str">
        <f>INDEX(DataSet!F3:F111,MATCH('VlookUp_Index&amp;Match'!I12,DataSet!A3:A111,0))</f>
        <v>Direct</v>
      </c>
    </row>
    <row r="13" spans="2:12" ht="14.25" customHeight="1">
      <c r="B13" s="15">
        <v>23347</v>
      </c>
      <c r="C13" s="10" t="str">
        <f>VLOOKUP(B13,utiva_table,6,FALSE)</f>
        <v>Online</v>
      </c>
      <c r="I13" s="45">
        <v>23347</v>
      </c>
      <c r="J13" s="45" t="str">
        <f>INDEX(DataSet!F4:F112,MATCH('VlookUp_Index&amp;Match'!I13,DataSet!A4:A112,0))</f>
        <v>Online</v>
      </c>
    </row>
    <row r="14" spans="2:12" ht="14.25" customHeight="1"/>
    <row r="15" spans="2:12" ht="14.25" customHeight="1">
      <c r="B15" s="44" t="s">
        <v>439</v>
      </c>
      <c r="I15" s="44" t="s">
        <v>440</v>
      </c>
    </row>
    <row r="16" spans="2:12" ht="14.25" customHeight="1">
      <c r="B16" s="46" t="s">
        <v>198</v>
      </c>
      <c r="C16" s="46" t="s">
        <v>203</v>
      </c>
      <c r="D16" s="46" t="s">
        <v>206</v>
      </c>
      <c r="E16" s="46" t="s">
        <v>208</v>
      </c>
      <c r="I16" s="14" t="s">
        <v>198</v>
      </c>
      <c r="J16" s="14" t="s">
        <v>203</v>
      </c>
      <c r="K16" s="14" t="s">
        <v>206</v>
      </c>
      <c r="L16" s="14" t="s">
        <v>208</v>
      </c>
    </row>
    <row r="17" spans="2:12" ht="14.25" customHeight="1">
      <c r="B17" s="47">
        <v>23353</v>
      </c>
      <c r="C17" s="10" t="str">
        <f t="shared" ref="C17:C22" si="0">VLOOKUP(B17, utiva_table,6,FALSE)</f>
        <v>Direct</v>
      </c>
      <c r="D17" s="48">
        <f t="shared" ref="D17:D22" si="1">VLOOKUP(B17, utiva_table,9,FALSE)</f>
        <v>168</v>
      </c>
      <c r="E17" s="10">
        <f t="shared" ref="E17:E22" si="2">VLOOKUP(B17,utiva_table, 11,FALSE)</f>
        <v>2436</v>
      </c>
      <c r="I17" s="14">
        <v>23353</v>
      </c>
      <c r="J17" s="10" t="str">
        <f>INDEX(DataSet!F1:F109,MATCH('VlookUp_Index&amp;Match'!I17,DataSet!A1:A109,0))</f>
        <v>Direct</v>
      </c>
      <c r="K17" s="10">
        <f>INDEX(DataSet!I1:I109,MATCH('VlookUp_Index&amp;Match'!I17,DataSet!A1:A109,0))</f>
        <v>168</v>
      </c>
      <c r="L17" s="10">
        <f>INDEX(DataSet!K1:K109,MATCH('VlookUp_Index&amp;Match'!I17,DataSet!A1:A109,0))</f>
        <v>2436</v>
      </c>
    </row>
    <row r="18" spans="2:12" ht="14.25" customHeight="1">
      <c r="B18" s="47">
        <v>23289</v>
      </c>
      <c r="C18" s="10" t="str">
        <f t="shared" si="0"/>
        <v>Retail</v>
      </c>
      <c r="D18" s="48">
        <f t="shared" si="1"/>
        <v>166</v>
      </c>
      <c r="E18" s="10">
        <f t="shared" si="2"/>
        <v>2407</v>
      </c>
      <c r="I18" s="14">
        <v>23289</v>
      </c>
      <c r="J18" s="10" t="str">
        <f>INDEX(DataSet!F2:F110,MATCH('VlookUp_Index&amp;Match'!I18,DataSet!A2:A110,0))</f>
        <v>Retail</v>
      </c>
      <c r="K18" s="10">
        <f>INDEX(DataSet!I2:I110,MATCH('VlookUp_Index&amp;Match'!I18,DataSet!A2:A110,0))</f>
        <v>166</v>
      </c>
      <c r="L18" s="10">
        <f>INDEX(DataSet!K2:K110,MATCH('VlookUp_Index&amp;Match'!I18,DataSet!A2:A110,0))</f>
        <v>2407</v>
      </c>
    </row>
    <row r="19" spans="2:12" ht="14.25" customHeight="1">
      <c r="B19" s="47">
        <v>23378</v>
      </c>
      <c r="C19" s="10" t="str">
        <f t="shared" si="0"/>
        <v>Online</v>
      </c>
      <c r="D19" s="48">
        <f t="shared" si="1"/>
        <v>157</v>
      </c>
      <c r="E19" s="10">
        <f t="shared" si="2"/>
        <v>2276.5</v>
      </c>
      <c r="I19" s="14">
        <v>23378</v>
      </c>
      <c r="J19" s="10" t="str">
        <f>INDEX(DataSet!F3:F111,MATCH('VlookUp_Index&amp;Match'!I19,DataSet!A3:A111,0))</f>
        <v>Online</v>
      </c>
      <c r="K19" s="10">
        <f>INDEX(DataSet!I3:I111,MATCH('VlookUp_Index&amp;Match'!I19,DataSet!A3:A111,0))</f>
        <v>157</v>
      </c>
      <c r="L19" s="10">
        <f>INDEX(DataSet!K3:K111,MATCH('VlookUp_Index&amp;Match'!I19,DataSet!A3:A111,0))</f>
        <v>2276.5</v>
      </c>
    </row>
    <row r="20" spans="2:12" ht="14.25" customHeight="1">
      <c r="B20" s="47">
        <v>23283</v>
      </c>
      <c r="C20" s="10" t="str">
        <f t="shared" si="0"/>
        <v>Online</v>
      </c>
      <c r="D20" s="48">
        <f t="shared" si="1"/>
        <v>142</v>
      </c>
      <c r="E20" s="10">
        <f t="shared" si="2"/>
        <v>2059</v>
      </c>
      <c r="I20" s="14">
        <v>23283</v>
      </c>
      <c r="J20" s="10" t="str">
        <f>INDEX(DataSet!F4:F112,MATCH('VlookUp_Index&amp;Match'!I20,DataSet!A4:A112,0))</f>
        <v>Online</v>
      </c>
      <c r="K20" s="10">
        <f>INDEX(DataSet!I4:I112,MATCH('VlookUp_Index&amp;Match'!I20,DataSet!A4:A112,0))</f>
        <v>142</v>
      </c>
      <c r="L20" s="10">
        <f>INDEX(DataSet!K4:K112,MATCH('VlookUp_Index&amp;Match'!I20,DataSet!A4:A112,0))</f>
        <v>2059</v>
      </c>
    </row>
    <row r="21" spans="2:12" ht="14.25" customHeight="1">
      <c r="B21" s="47">
        <v>23324</v>
      </c>
      <c r="C21" s="10" t="str">
        <f t="shared" si="0"/>
        <v>Retail</v>
      </c>
      <c r="D21" s="48">
        <f t="shared" si="1"/>
        <v>193</v>
      </c>
      <c r="E21" s="10">
        <f t="shared" si="2"/>
        <v>1928.07</v>
      </c>
      <c r="I21" s="14">
        <v>23324</v>
      </c>
      <c r="J21" s="10" t="str">
        <f>INDEX(DataSet!F5:F113,MATCH('VlookUp_Index&amp;Match'!I21,DataSet!A5:A113,0))</f>
        <v>Retail</v>
      </c>
      <c r="K21" s="10">
        <f>INDEX(DataSet!I5:I113,MATCH('VlookUp_Index&amp;Match'!I21,DataSet!A5:A113,0))</f>
        <v>193</v>
      </c>
      <c r="L21" s="10">
        <f>INDEX(DataSet!K5:K113,MATCH('VlookUp_Index&amp;Match'!I21,DataSet!A5:A113,0))</f>
        <v>1928.07</v>
      </c>
    </row>
    <row r="22" spans="2:12" ht="14.25" customHeight="1">
      <c r="B22" s="47">
        <v>23303</v>
      </c>
      <c r="C22" s="10" t="str">
        <f t="shared" si="0"/>
        <v>Retail</v>
      </c>
      <c r="D22" s="48">
        <f t="shared" si="1"/>
        <v>176</v>
      </c>
      <c r="E22" s="10">
        <f t="shared" si="2"/>
        <v>2552</v>
      </c>
      <c r="I22" s="14">
        <v>23303</v>
      </c>
      <c r="J22" s="10" t="str">
        <f>INDEX(DataSet!F1:F109,MATCH('VlookUp_Index&amp;Match'!I22,DataSet!A1:A109,0))</f>
        <v>Retail</v>
      </c>
      <c r="K22" s="10">
        <f>INDEX(DataSet!I1:I109,MATCH('VlookUp_Index&amp;Match'!I22,DataSet!A1:A109,0))</f>
        <v>176</v>
      </c>
      <c r="L22" s="10">
        <f>INDEX(DataSet!K1:K109, MATCH('VlookUp_Index&amp;Match'!I22, DataSet!A1:A109,0))</f>
        <v>2552</v>
      </c>
    </row>
    <row r="23" spans="2:12" ht="14.25" customHeight="1"/>
    <row r="24" spans="2:12" ht="14.25" customHeight="1">
      <c r="B24" s="44" t="s">
        <v>439</v>
      </c>
      <c r="I24" s="44" t="s">
        <v>440</v>
      </c>
    </row>
    <row r="25" spans="2:12" ht="14.25" customHeight="1">
      <c r="B25" s="49" t="s">
        <v>198</v>
      </c>
      <c r="C25" s="49" t="s">
        <v>200</v>
      </c>
      <c r="D25" s="49" t="s">
        <v>441</v>
      </c>
      <c r="E25" s="49" t="s">
        <v>208</v>
      </c>
      <c r="I25" s="14" t="s">
        <v>198</v>
      </c>
      <c r="J25" s="14" t="s">
        <v>200</v>
      </c>
      <c r="K25" s="14" t="s">
        <v>441</v>
      </c>
      <c r="L25" s="14" t="s">
        <v>208</v>
      </c>
    </row>
    <row r="26" spans="2:12" ht="14.25" customHeight="1">
      <c r="B26" s="45">
        <v>23265</v>
      </c>
      <c r="C26" s="10" t="str">
        <f t="shared" ref="C26:C32" si="3">VLOOKUP(B26,utiva_table,3,FALSE)</f>
        <v>South Africa</v>
      </c>
      <c r="D26" s="10" t="str">
        <f t="shared" ref="D26:D32" si="4">VLOOKUP(B26, utiva_table, 2,FALSE)</f>
        <v>Uriel Benton</v>
      </c>
      <c r="E26" s="10">
        <f t="shared" ref="E26:E32" si="5">VLOOKUP(B26, utiva_table,11,FALSE)</f>
        <v>139.86000000000001</v>
      </c>
      <c r="I26" s="14">
        <v>23265</v>
      </c>
      <c r="J26" s="10" t="str">
        <f>INDEX(DataSet!C1:C109, MATCH('VlookUp_Index&amp;Match'!I26, DataSet!A1:A109,0))</f>
        <v>South Africa</v>
      </c>
      <c r="K26" s="10" t="str">
        <f>INDEX(DataSet!B1:B109, MATCH('VlookUp_Index&amp;Match'!I26, DataSet!A1:A109,0))</f>
        <v>Uriel Benton</v>
      </c>
      <c r="L26" s="10">
        <f>INDEX(DataSet!K1:K109, MATCH('VlookUp_Index&amp;Match'!I26, DataSet!A1:A109,0))</f>
        <v>139.86000000000001</v>
      </c>
    </row>
    <row r="27" spans="2:12" ht="14.25" customHeight="1">
      <c r="B27" s="45">
        <v>23315</v>
      </c>
      <c r="C27" s="10" t="str">
        <f t="shared" si="3"/>
        <v>Burkina Faso</v>
      </c>
      <c r="D27" s="10" t="str">
        <f t="shared" si="4"/>
        <v>Anika Tillman</v>
      </c>
      <c r="E27" s="10">
        <f t="shared" si="5"/>
        <v>490.5</v>
      </c>
      <c r="I27" s="14">
        <v>23315</v>
      </c>
      <c r="J27" s="10" t="str">
        <f>INDEX(DataSet!C2:C110, MATCH('VlookUp_Index&amp;Match'!I27, DataSet!A2:A110,0))</f>
        <v>Burkina Faso</v>
      </c>
      <c r="K27" s="10" t="str">
        <f>INDEX(DataSet!B2:B110, MATCH('VlookUp_Index&amp;Match'!I27, DataSet!A2:A110,0))</f>
        <v>Anika Tillman</v>
      </c>
      <c r="L27" s="10">
        <f>INDEX(DataSet!K2:K110, MATCH('VlookUp_Index&amp;Match'!I27, DataSet!A2:A110,0))</f>
        <v>490.5</v>
      </c>
    </row>
    <row r="28" spans="2:12" ht="14.25" customHeight="1">
      <c r="B28" s="45">
        <v>30000</v>
      </c>
      <c r="C28" s="10" t="str">
        <f>IFERROR(VLOOKUP(B28,utiva_table, 3,FALSE), "NOT FOUND")</f>
        <v>NOT FOUND</v>
      </c>
      <c r="D28" s="10" t="str">
        <f>IFERROR(VLOOKUP(B28, utiva_table, 2,FALSE), "NOT FOUND")</f>
        <v>NOT FOUND</v>
      </c>
      <c r="E28" s="10" t="str">
        <f>IFERROR(VLOOKUP(B28, utiva_table,11,FALSE), "NOT FOUND")</f>
        <v>NOT FOUND</v>
      </c>
      <c r="I28" s="14">
        <v>30000</v>
      </c>
      <c r="J28" s="10" t="str">
        <f>IFERROR(INDEX(DataSet!C3:C111, MATCH('VlookUp_Index&amp;Match'!I28, DataSet!A3:A111,0)), "NOT FOUND")</f>
        <v>NOT FOUND</v>
      </c>
      <c r="K28" s="10" t="str">
        <f>IFERROR(INDEX(DataSet!B3:B111, MATCH('VlookUp_Index&amp;Match'!I28, DataSet!A3:A111,0)), "NOT FOUND")</f>
        <v>NOT FOUND</v>
      </c>
      <c r="L28" s="10" t="str">
        <f>IFERROR(INDEX(DataSet!K3:K111, MATCH('VlookUp_Index&amp;Match'!I28, DataSet!A3:A111,0)), "NOT FOUND")</f>
        <v>NOT FOUND</v>
      </c>
    </row>
    <row r="29" spans="2:12" ht="14.25" customHeight="1">
      <c r="B29" s="45">
        <v>40000</v>
      </c>
      <c r="C29" s="10" t="str">
        <f>IFERROR(VLOOKUP(B29,utiva_table, 3,FALSE), "NOT FOUND")</f>
        <v>NOT FOUND</v>
      </c>
      <c r="D29" s="10" t="str">
        <f>IFERROR(VLOOKUP(B29, utiva_table, 2,FALSE), "NOT FOUND")</f>
        <v>NOT FOUND</v>
      </c>
      <c r="E29" s="10" t="str">
        <f>IFERROR(VLOOKUP(B29, utiva_table,11,FALSE), "NOT FOUND")</f>
        <v>NOT FOUND</v>
      </c>
      <c r="I29" s="14">
        <v>40000</v>
      </c>
      <c r="J29" s="10" t="str">
        <f>IFERROR(INDEX(DataSet!C4:C112, MATCH('VlookUp_Index&amp;Match'!I29, DataSet!A4:A112,0)), "NOT FOUND")</f>
        <v>NOT FOUND</v>
      </c>
      <c r="K29" s="10" t="str">
        <f>IFERROR(INDEX(DataSet!B4:B112, MATCH('VlookUp_Index&amp;Match'!I29, DataSet!A4:A112,0)), "NOT FOUND")</f>
        <v>NOT FOUND</v>
      </c>
      <c r="L29" s="10" t="str">
        <f>IFERROR(INDEX(DataSet!K4:K112, MATCH('VlookUp_Index&amp;Match'!I29, DataSet!A4:A112,0)), "NOT FOUND")</f>
        <v>NOT FOUND</v>
      </c>
    </row>
    <row r="30" spans="2:12" ht="14.25" customHeight="1">
      <c r="B30" s="45">
        <v>23367</v>
      </c>
      <c r="C30" s="10" t="str">
        <f>IFERROR(VLOOKUP(B30,utiva_table, 3,FALSE), "NOT FOUND")</f>
        <v>Saudi Arabia</v>
      </c>
      <c r="D30" s="10" t="str">
        <f>IFERROR(VLOOKUP(B30, utiva_table, 2,FALSE), "NOT FOUND")</f>
        <v>Roary Dixon</v>
      </c>
      <c r="E30" s="10">
        <f>IFERROR(VLOOKUP(B30, utiva_table,11,FALSE), "NOT FOUND")</f>
        <v>45</v>
      </c>
      <c r="I30" s="14">
        <v>23367</v>
      </c>
      <c r="J30" s="10" t="str">
        <f>IFERROR(INDEX(DataSet!C5:C113, MATCH('VlookUp_Index&amp;Match'!I30, DataSet!A5:A113,0)), "NOT FOUND")</f>
        <v>Saudi Arabia</v>
      </c>
      <c r="K30" s="10" t="str">
        <f>IFERROR(INDEX(DataSet!B5:B113, MATCH('VlookUp_Index&amp;Match'!I30, DataSet!A5:A113,0)), "NOT FOUND")</f>
        <v>Roary Dixon</v>
      </c>
      <c r="L30" s="10">
        <f>IFERROR(INDEX(DataSet!K5:K113, MATCH('VlookUp_Index&amp;Match'!I30, DataSet!A5:A113,0)), "NOT FOUND")</f>
        <v>45</v>
      </c>
    </row>
    <row r="31" spans="2:12" ht="14.25" customHeight="1">
      <c r="B31" s="45">
        <v>23326</v>
      </c>
      <c r="C31" s="10" t="str">
        <f>IFERROR(VLOOKUP(B31,utiva_table, 3,FALSE), "NOT FOUND")</f>
        <v>Slovenia</v>
      </c>
      <c r="D31" s="10" t="str">
        <f>IFERROR(VLOOKUP(B31, utiva_table, 2,FALSE), "NOT FOUND")</f>
        <v>Katelyn Joseph</v>
      </c>
      <c r="E31" s="10">
        <f>IFERROR(VLOOKUP(B31, utiva_table,11,FALSE), "NOT FOUND")</f>
        <v>567</v>
      </c>
      <c r="I31" s="14">
        <v>23326</v>
      </c>
      <c r="J31" s="10" t="str">
        <f>IFERROR(INDEX(DataSet!C6:C114, MATCH('VlookUp_Index&amp;Match'!I31, DataSet!A6:A114,0)), "NOT FOUND")</f>
        <v>Slovenia</v>
      </c>
      <c r="K31" s="10" t="str">
        <f>IFERROR(INDEX(DataSet!B6:B114, MATCH('VlookUp_Index&amp;Match'!I31, DataSet!A6:A114,0)), "NOT FOUND")</f>
        <v>Katelyn Joseph</v>
      </c>
      <c r="L31" s="10">
        <f>IFERROR(INDEX(DataSet!K6:K114, MATCH('VlookUp_Index&amp;Match'!I31, DataSet!A6:A114,0)), "NOT FOUND")</f>
        <v>567</v>
      </c>
    </row>
    <row r="32" spans="2:12" ht="14.25" customHeight="1">
      <c r="B32" s="45">
        <v>35000</v>
      </c>
      <c r="C32" s="10" t="str">
        <f>IFERROR(VLOOKUP(B32,utiva_table, 3,FALSE), "NOT FOUND")</f>
        <v>NOT FOUND</v>
      </c>
      <c r="D32" s="10" t="str">
        <f>IFERROR(VLOOKUP(B32, utiva_table, 2,FALSE), "NOT FOUND")</f>
        <v>NOT FOUND</v>
      </c>
      <c r="E32" s="10" t="str">
        <f>IFERROR(VLOOKUP(B32, utiva_table,11,FALSE), "NOT FOUND")</f>
        <v>NOT FOUND</v>
      </c>
      <c r="I32" s="14">
        <v>35000</v>
      </c>
      <c r="J32" s="10" t="str">
        <f>IFERROR(INDEX(DataSet!C7:C115, MATCH('VlookUp_Index&amp;Match'!I32, DataSet!A7:A115,0)), "NOT FOUND")</f>
        <v>NOT FOUND</v>
      </c>
      <c r="K32" s="10" t="str">
        <f>IFERROR(INDEX(DataSet!B7:B115, MATCH('VlookUp_Index&amp;Match'!I32, DataSet!A7:A115,0)), "NOT FOUND")</f>
        <v>NOT FOUND</v>
      </c>
      <c r="L32" s="10" t="str">
        <f>IFERROR(INDEX(DataSet!K7:K115, MATCH('VlookUp_Index&amp;Match'!I32, DataSet!A7:A115,0)), "NOT FOUND")</f>
        <v>NOT FOUND</v>
      </c>
    </row>
    <row r="33" spans="2:12" ht="14.25" customHeight="1"/>
    <row r="34" spans="2:12" ht="14.25" customHeight="1"/>
    <row r="35" spans="2:12" ht="14.25" customHeight="1"/>
    <row r="36" spans="2:12" ht="14.25" customHeight="1">
      <c r="B36" s="44" t="s">
        <v>439</v>
      </c>
      <c r="I36" s="44" t="s">
        <v>440</v>
      </c>
    </row>
    <row r="37" spans="2:12" ht="14.25" customHeight="1">
      <c r="B37" s="14" t="s">
        <v>198</v>
      </c>
      <c r="C37" s="14" t="s">
        <v>200</v>
      </c>
      <c r="D37" s="14" t="s">
        <v>441</v>
      </c>
      <c r="E37" s="14" t="s">
        <v>208</v>
      </c>
      <c r="I37" s="14" t="s">
        <v>198</v>
      </c>
      <c r="J37" s="14" t="s">
        <v>200</v>
      </c>
      <c r="K37" s="14" t="s">
        <v>441</v>
      </c>
      <c r="L37" s="14" t="s">
        <v>208</v>
      </c>
    </row>
    <row r="38" spans="2:12" ht="14.25" customHeight="1">
      <c r="B38" s="14">
        <v>23370</v>
      </c>
      <c r="C38" s="10" t="str">
        <f t="shared" ref="C38:C44" si="6">VLOOKUP(B38, utiva_table,3,FALSE)</f>
        <v>Indonesia</v>
      </c>
      <c r="D38" s="10" t="str">
        <f t="shared" ref="D38:D44" si="7">VLOOKUP(B38, utiva_table, 2,FALSE)</f>
        <v>Clark Orr</v>
      </c>
      <c r="E38" s="10">
        <f t="shared" ref="E38:E44" si="8">VLOOKUP(B38, utiva_table, 11,FALSE)</f>
        <v>189</v>
      </c>
      <c r="I38" s="14">
        <v>23370</v>
      </c>
      <c r="J38" s="10" t="str">
        <f>INDEX(DataSet!C1:C109,MATCH('VlookUp_Index&amp;Match'!I38,DataSet!A1:A109,0))</f>
        <v>Indonesia</v>
      </c>
      <c r="K38" s="10" t="str">
        <f>INDEX(DataSet!B1:B109, MATCH('VlookUp_Index&amp;Match'!I38, DataSet!A1:A109,0))</f>
        <v>Clark Orr</v>
      </c>
      <c r="L38" s="10">
        <f>INDEX(DataSet!K1:K109, MATCH('VlookUp_Index&amp;Match'!I38, DataSet!A1:A109,0))</f>
        <v>189</v>
      </c>
    </row>
    <row r="39" spans="2:12" ht="14.25" customHeight="1">
      <c r="B39" s="14">
        <v>23372</v>
      </c>
      <c r="C39" s="10" t="str">
        <f t="shared" si="6"/>
        <v>Nigeria</v>
      </c>
      <c r="D39" s="10" t="str">
        <f t="shared" si="7"/>
        <v>Phillip Perkins</v>
      </c>
      <c r="E39" s="10">
        <f t="shared" si="8"/>
        <v>143</v>
      </c>
      <c r="I39" s="14">
        <v>23372</v>
      </c>
      <c r="J39" s="10" t="str">
        <f>INDEX(DataSet!C2:C110,MATCH('VlookUp_Index&amp;Match'!I39,DataSet!A2:A110,0))</f>
        <v>Nigeria</v>
      </c>
      <c r="K39" s="10" t="str">
        <f>INDEX(DataSet!B2:B110, MATCH('VlookUp_Index&amp;Match'!I39, DataSet!A2:A110,0))</f>
        <v>Phillip Perkins</v>
      </c>
      <c r="L39" s="10">
        <f>INDEX(DataSet!K2:K110, MATCH('VlookUp_Index&amp;Match'!I39, DataSet!A2:A110,0))</f>
        <v>143</v>
      </c>
    </row>
    <row r="40" spans="2:12" ht="14.25" customHeight="1">
      <c r="B40" s="14">
        <v>23265</v>
      </c>
      <c r="C40" s="10" t="str">
        <f t="shared" si="6"/>
        <v>South Africa</v>
      </c>
      <c r="D40" s="10" t="str">
        <f t="shared" si="7"/>
        <v>Uriel Benton</v>
      </c>
      <c r="E40" s="10">
        <f t="shared" si="8"/>
        <v>139.86000000000001</v>
      </c>
      <c r="I40" s="14">
        <v>23265</v>
      </c>
      <c r="J40" s="10" t="str">
        <f>INDEX(DataSet!C3:C111,MATCH('VlookUp_Index&amp;Match'!I40,DataSet!A3:A111,0))</f>
        <v>South Africa</v>
      </c>
      <c r="K40" s="10" t="str">
        <f>INDEX(DataSet!B3:B111, MATCH('VlookUp_Index&amp;Match'!I40, DataSet!A3:A111,0))</f>
        <v>Uriel Benton</v>
      </c>
      <c r="L40" s="10">
        <f>INDEX(DataSet!K3:K111, MATCH('VlookUp_Index&amp;Match'!I40, DataSet!A3:A111,0))</f>
        <v>139.86000000000001</v>
      </c>
    </row>
    <row r="41" spans="2:12" ht="14.25" customHeight="1">
      <c r="B41" s="14">
        <v>23346</v>
      </c>
      <c r="C41" s="10" t="str">
        <f t="shared" si="6"/>
        <v>Bouvet Island</v>
      </c>
      <c r="D41" s="10" t="str">
        <f t="shared" si="7"/>
        <v>Aretha Patton</v>
      </c>
      <c r="E41" s="10">
        <f t="shared" si="8"/>
        <v>129.87</v>
      </c>
      <c r="I41" s="14">
        <v>23346</v>
      </c>
      <c r="J41" s="10" t="str">
        <f>INDEX(DataSet!C4:C112,MATCH('VlookUp_Index&amp;Match'!I41,DataSet!A4:A112,0))</f>
        <v>Bouvet Island</v>
      </c>
      <c r="K41" s="10" t="str">
        <f>INDEX(DataSet!B4:B112, MATCH('VlookUp_Index&amp;Match'!I41, DataSet!A4:A112,0))</f>
        <v>Aretha Patton</v>
      </c>
      <c r="L41" s="10">
        <f>INDEX(DataSet!K4:K112, MATCH('VlookUp_Index&amp;Match'!I41, DataSet!A4:A112,0))</f>
        <v>129.87</v>
      </c>
    </row>
    <row r="42" spans="2:12" ht="14.25" customHeight="1">
      <c r="B42" s="14">
        <v>23312</v>
      </c>
      <c r="C42" s="10" t="str">
        <f t="shared" si="6"/>
        <v>Mayotte</v>
      </c>
      <c r="D42" s="10" t="str">
        <f t="shared" si="7"/>
        <v>Thomas Barnes</v>
      </c>
      <c r="E42" s="10">
        <f t="shared" si="8"/>
        <v>111.72</v>
      </c>
      <c r="I42" s="14">
        <v>23312</v>
      </c>
      <c r="J42" s="10" t="str">
        <f>INDEX(DataSet!C5:C113,MATCH('VlookUp_Index&amp;Match'!I42,DataSet!A5:A113,0))</f>
        <v>Mayotte</v>
      </c>
      <c r="K42" s="10" t="str">
        <f>INDEX(DataSet!B5:B113, MATCH('VlookUp_Index&amp;Match'!I42, DataSet!A5:A113,0))</f>
        <v>Thomas Barnes</v>
      </c>
      <c r="L42" s="10">
        <f>INDEX(DataSet!K5:K113, MATCH('VlookUp_Index&amp;Match'!I42, DataSet!A5:A113,0))</f>
        <v>111.72</v>
      </c>
    </row>
    <row r="43" spans="2:12" ht="14.25" customHeight="1">
      <c r="B43" s="14">
        <v>23322</v>
      </c>
      <c r="C43" s="10" t="str">
        <f t="shared" si="6"/>
        <v>Malaysia</v>
      </c>
      <c r="D43" s="10" t="str">
        <f t="shared" si="7"/>
        <v>Arsenio Knowles</v>
      </c>
      <c r="E43" s="10">
        <f t="shared" si="8"/>
        <v>60</v>
      </c>
      <c r="I43" s="14">
        <v>23322</v>
      </c>
      <c r="J43" s="10" t="str">
        <f>INDEX(DataSet!C6:C114,MATCH('VlookUp_Index&amp;Match'!I43,DataSet!A6:A114,0))</f>
        <v>Malaysia</v>
      </c>
      <c r="K43" s="10" t="str">
        <f>INDEX(DataSet!B6:B114, MATCH('VlookUp_Index&amp;Match'!I43, DataSet!A6:A114,0))</f>
        <v>Arsenio Knowles</v>
      </c>
      <c r="L43" s="10">
        <f>INDEX(DataSet!K6:K114, MATCH('VlookUp_Index&amp;Match'!I43, DataSet!A6:A114,0))</f>
        <v>60</v>
      </c>
    </row>
    <row r="44" spans="2:12" ht="14.25" customHeight="1">
      <c r="B44" s="14">
        <v>23298</v>
      </c>
      <c r="C44" s="10" t="str">
        <f t="shared" si="6"/>
        <v>Virgin Islands, British</v>
      </c>
      <c r="D44" s="10" t="str">
        <f t="shared" si="7"/>
        <v>Ryder Conner</v>
      </c>
      <c r="E44" s="10">
        <f t="shared" si="8"/>
        <v>54</v>
      </c>
      <c r="I44" s="14">
        <v>23298</v>
      </c>
      <c r="J44" s="10" t="str">
        <f>INDEX(DataSet!C7:C115,MATCH('VlookUp_Index&amp;Match'!I44,DataSet!A7:A115,0))</f>
        <v>Virgin Islands, British</v>
      </c>
      <c r="K44" s="10" t="str">
        <f>INDEX(DataSet!B7:B115, MATCH('VlookUp_Index&amp;Match'!I44, DataSet!A7:A115,0))</f>
        <v>Ryder Conner</v>
      </c>
      <c r="L44" s="10">
        <f>INDEX(DataSet!K7:K115, MATCH('VlookUp_Index&amp;Match'!I44, DataSet!A7:A115,0))</f>
        <v>54</v>
      </c>
    </row>
    <row r="45" spans="2:12" ht="14.25" customHeight="1"/>
    <row r="46" spans="2:12" ht="14.25" customHeight="1"/>
    <row r="47" spans="2:12" ht="14.25" customHeight="1">
      <c r="E47" s="50"/>
    </row>
    <row r="48" spans="2:12" ht="14.25" customHeight="1">
      <c r="E48" s="50"/>
    </row>
    <row r="49" spans="5:5" ht="14.25" customHeight="1">
      <c r="E49" s="50"/>
    </row>
    <row r="50" spans="5:5" ht="14.25" customHeight="1">
      <c r="E50" s="50"/>
    </row>
    <row r="51" spans="5:5" ht="14.25" customHeight="1">
      <c r="E51" s="50"/>
    </row>
    <row r="52" spans="5:5" ht="14.25" customHeight="1">
      <c r="E52" s="50"/>
    </row>
    <row r="53" spans="5:5" ht="14.25" customHeight="1">
      <c r="E53" s="50"/>
    </row>
    <row r="54" spans="5:5" ht="14.25" customHeight="1">
      <c r="E54" s="50"/>
    </row>
    <row r="55" spans="5:5" ht="14.25" customHeight="1"/>
    <row r="56" spans="5:5" ht="14.25" customHeight="1"/>
    <row r="57" spans="5:5" ht="14.25" customHeight="1"/>
    <row r="58" spans="5:5" ht="14.25" customHeight="1"/>
    <row r="59" spans="5:5" ht="14.25" customHeight="1"/>
    <row r="60" spans="5:5" ht="14.25" customHeight="1"/>
    <row r="61" spans="5:5" ht="14.25" customHeight="1"/>
    <row r="62" spans="5:5" ht="14.25" customHeight="1"/>
    <row r="63" spans="5:5" ht="14.25" customHeight="1"/>
    <row r="64" spans="5: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F6"/>
  </mergeCell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2AD4ADD4476647B9A9FC9619DECE9C" ma:contentTypeVersion="13" ma:contentTypeDescription="Create a new document." ma:contentTypeScope="" ma:versionID="2cda73422a7282f238bd0683d6483ea4">
  <xsd:schema xmlns:xsd="http://www.w3.org/2001/XMLSchema" xmlns:xs="http://www.w3.org/2001/XMLSchema" xmlns:p="http://schemas.microsoft.com/office/2006/metadata/properties" xmlns:ns2="80b7dfed-d660-4801-8586-5042f230bd54" xmlns:ns3="b61f3811-f07e-4287-98a8-fb6ae63da192" targetNamespace="http://schemas.microsoft.com/office/2006/metadata/properties" ma:root="true" ma:fieldsID="26b4e0b2f0a6e1e282eaff6ae010abe0" ns2:_="" ns3:_="">
    <xsd:import namespace="80b7dfed-d660-4801-8586-5042f230bd54"/>
    <xsd:import namespace="b61f3811-f07e-4287-98a8-fb6ae63da19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b7dfed-d660-4801-8586-5042f230bd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d82563b-0873-4153-b60d-32ffd6f0d13b"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1f3811-f07e-4287-98a8-fb6ae63da19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9fccad43-8276-4851-b84f-9e020109a264}" ma:internalName="TaxCatchAll" ma:showField="CatchAllData" ma:web="b61f3811-f07e-4287-98a8-fb6ae63da19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C80557-CB5B-43BA-BA51-67624DE2F7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b7dfed-d660-4801-8586-5042f230bd54"/>
    <ds:schemaRef ds:uri="b61f3811-f07e-4287-98a8-fb6ae63da1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E6DBE5-0BF5-4A92-B759-0A23C4465B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Home Page</vt:lpstr>
      <vt:lpstr>Name Range, F&amp;F</vt:lpstr>
      <vt:lpstr>Formatting</vt:lpstr>
      <vt:lpstr>Reference</vt:lpstr>
      <vt:lpstr>DataSet</vt:lpstr>
      <vt:lpstr>VlookUp_Index&amp;Match</vt:lpstr>
      <vt:lpstr>City</vt:lpstr>
      <vt:lpstr>Departmental_session</vt:lpstr>
      <vt:lpstr>difference</vt:lpstr>
      <vt:lpstr>ghyn</vt:lpstr>
      <vt:lpstr>Governor</vt:lpstr>
      <vt:lpstr>months</vt:lpstr>
      <vt:lpstr>motto</vt:lpstr>
      <vt:lpstr>periodical_table</vt:lpstr>
      <vt:lpstr>population</vt:lpstr>
      <vt:lpstr>STATES</vt:lpstr>
      <vt:lpstr>Teams1to3</vt:lpstr>
      <vt:lpstr>Total_sale</vt:lpstr>
      <vt:lpstr>Traning_budget</vt:lpstr>
      <vt:lpstr>Traning_cost</vt:lpstr>
      <vt:lpstr>utiva_table</vt:lpstr>
      <vt:lpstr>year_18_19_20</vt:lpstr>
      <vt:lpstr>year_val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Oladapo Siyanbola</dc:creator>
  <cp:keywords/>
  <dc:description/>
  <cp:lastModifiedBy>FEMICODE</cp:lastModifiedBy>
  <cp:revision/>
  <dcterms:created xsi:type="dcterms:W3CDTF">2021-02-27T21:57:54Z</dcterms:created>
  <dcterms:modified xsi:type="dcterms:W3CDTF">2023-11-16T15:32:18Z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2021-03-14T10:46:42Z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04c91b33-6ee0-4cf1-be38-1b1b2c8ea7cc</vt:lpwstr>
  </property>
  <property fmtid="{D5CDD505-2E9C-101B-9397-08002B2CF9AE}" pid="8" name="MSIP_Label_ea60d57e-af5b-4752-ac57-3e4f28ca11dc_ContentBits">
    <vt:lpwstr>0</vt:lpwstr>
  </property>
</Properties>
</file>