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 defaultThemeVersion="124226"/>
  <xr:revisionPtr revIDLastSave="9" documentId="11_383B75E63902A080DF2CA9785752D8CC946C25E6" xr6:coauthVersionLast="45" xr6:coauthVersionMax="45" xr10:uidLastSave="{9E3C624C-DDE9-44B1-9A73-E49CACF0085D}"/>
  <workbookProtection workbookAlgorithmName="SHA-512" workbookHashValue="LHWDz9fyyhIdE5qn8NNxdz7EJ1lcqZXV9hBDDfnrNqHnNFD2ZIQETMoIlGRyiRQ56PcUuHi1vpqIAV9iUrVZ3A==" workbookSaltValue="8nRr1173uNOhKQ3AHOAbVg==" workbookSpinCount="100000" lockStructure="1"/>
  <bookViews>
    <workbookView xWindow="-108" yWindow="-108" windowWidth="22080" windowHeight="13176" activeTab="1" xr2:uid="{00000000-000D-0000-FFFF-FFFF00000000}"/>
  </bookViews>
  <sheets>
    <sheet name="Readme" sheetId="2" r:id="rId1"/>
    <sheet name="Register Configuration" sheetId="1" r:id="rId2"/>
    <sheet name="RealView .inc" sheetId="3" r:id="rId3"/>
    <sheet name="DS-5.ds" sheetId="6" r:id="rId4"/>
    <sheet name="Calibration" sheetId="5" r:id="rId5"/>
  </sheets>
  <definedNames>
    <definedName name="Codex_LPDDR1_200MHz" localSheetId="3">'DS-5.ds'!$A$1:$E$231</definedName>
    <definedName name="Codex_LPDDR1_200MHz.inc" localSheetId="2">'RealView .inc'!$A$1:$D$235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6" i="3" l="1"/>
  <c r="A172" i="6" l="1"/>
  <c r="A167" i="6"/>
  <c r="A166" i="6"/>
  <c r="A165" i="6"/>
  <c r="A164" i="6"/>
  <c r="A163" i="6"/>
  <c r="A133" i="6"/>
  <c r="A125" i="6"/>
  <c r="A124" i="6"/>
  <c r="A123" i="6"/>
  <c r="A122" i="6"/>
  <c r="A121" i="6"/>
  <c r="A120" i="6"/>
  <c r="A115" i="6"/>
  <c r="A111" i="6"/>
  <c r="A107" i="6"/>
  <c r="A106" i="6"/>
  <c r="A105" i="6"/>
  <c r="A101" i="6"/>
  <c r="A100" i="6"/>
  <c r="A99" i="6"/>
  <c r="A74" i="6"/>
  <c r="A73" i="6"/>
  <c r="A72" i="6"/>
  <c r="A71" i="6"/>
  <c r="A70" i="6"/>
  <c r="A69" i="6"/>
  <c r="A65" i="6"/>
  <c r="A64" i="6"/>
  <c r="A63" i="6"/>
  <c r="A62" i="6"/>
  <c r="A61" i="6"/>
  <c r="A60" i="6"/>
  <c r="A54" i="6"/>
  <c r="A53" i="6"/>
  <c r="A52" i="6"/>
  <c r="A51" i="6"/>
  <c r="A50" i="6"/>
  <c r="A49" i="6"/>
  <c r="A2" i="6"/>
  <c r="B88" i="6" l="1"/>
  <c r="B87" i="6"/>
  <c r="B86" i="6"/>
  <c r="B85" i="6"/>
  <c r="B84" i="6"/>
  <c r="B83" i="6"/>
  <c r="B82" i="6"/>
  <c r="B81" i="6"/>
  <c r="B80" i="6"/>
  <c r="A137" i="3" l="1"/>
  <c r="A119" i="3"/>
  <c r="A129" i="3"/>
  <c r="A128" i="3"/>
  <c r="A127" i="3"/>
  <c r="A126" i="3"/>
  <c r="A125" i="3"/>
  <c r="A124" i="3"/>
  <c r="A115" i="3"/>
  <c r="A105" i="3"/>
  <c r="A111" i="3"/>
  <c r="A110" i="3"/>
  <c r="A109" i="3"/>
  <c r="A104" i="3"/>
  <c r="A103" i="3"/>
  <c r="A78" i="3"/>
  <c r="A77" i="3"/>
  <c r="A76" i="3"/>
  <c r="A75" i="3"/>
  <c r="A74" i="3"/>
  <c r="A73" i="3"/>
  <c r="A69" i="3"/>
  <c r="A68" i="3"/>
  <c r="A67" i="3"/>
  <c r="A66" i="3"/>
  <c r="A65" i="3"/>
  <c r="A64" i="3"/>
  <c r="A58" i="3"/>
  <c r="A57" i="3"/>
  <c r="A56" i="3"/>
  <c r="A55" i="3"/>
  <c r="A54" i="3"/>
  <c r="A53" i="3"/>
  <c r="L363" i="1"/>
  <c r="L358" i="1"/>
  <c r="Q377" i="1"/>
  <c r="U377" i="1"/>
  <c r="AC377" i="1"/>
  <c r="Y377" i="1"/>
  <c r="R377" i="1"/>
  <c r="V377" i="1"/>
  <c r="AD377" i="1"/>
  <c r="Z377" i="1"/>
  <c r="S377" i="1"/>
  <c r="W377" i="1"/>
  <c r="AE377" i="1"/>
  <c r="AA377" i="1"/>
  <c r="I358" i="1"/>
  <c r="J358" i="1"/>
  <c r="Q360" i="1"/>
  <c r="M360" i="1"/>
  <c r="AC348" i="1"/>
  <c r="AD348" i="1"/>
  <c r="AE348" i="1"/>
  <c r="AF348" i="1"/>
  <c r="AG348" i="1"/>
  <c r="AH348" i="1"/>
  <c r="AI348" i="1"/>
  <c r="D25" i="1"/>
  <c r="A171" i="3" l="1"/>
  <c r="D18" i="1"/>
  <c r="A2" i="3"/>
  <c r="D19" i="1"/>
  <c r="A170" i="3"/>
  <c r="A169" i="3"/>
  <c r="A168" i="3"/>
  <c r="A167" i="3"/>
  <c r="B92" i="3"/>
  <c r="B91" i="3"/>
  <c r="B90" i="3"/>
  <c r="B89" i="3"/>
  <c r="B88" i="3"/>
  <c r="B87" i="3"/>
  <c r="B86" i="3"/>
  <c r="B85" i="3"/>
  <c r="B84" i="3"/>
  <c r="B75" i="3" l="1"/>
  <c r="B74" i="6"/>
  <c r="B70" i="6"/>
  <c r="B64" i="6"/>
  <c r="B60" i="6"/>
  <c r="B54" i="6"/>
  <c r="B50" i="6"/>
  <c r="B43" i="6"/>
  <c r="B39" i="6"/>
  <c r="B30" i="6"/>
  <c r="B73" i="6"/>
  <c r="B69" i="6"/>
  <c r="B63" i="6"/>
  <c r="B59" i="6"/>
  <c r="B53" i="6"/>
  <c r="B49" i="6"/>
  <c r="B42" i="6"/>
  <c r="B35" i="6"/>
  <c r="B27" i="6"/>
  <c r="B72" i="6"/>
  <c r="B68" i="6"/>
  <c r="B62" i="6"/>
  <c r="B58" i="6"/>
  <c r="B52" i="6"/>
  <c r="B48" i="6"/>
  <c r="B41" i="6"/>
  <c r="B34" i="6"/>
  <c r="B26" i="6"/>
  <c r="B71" i="6"/>
  <c r="B67" i="6"/>
  <c r="B61" i="6"/>
  <c r="B57" i="6"/>
  <c r="B51" i="6"/>
  <c r="B47" i="6"/>
  <c r="B40" i="6"/>
  <c r="B31" i="6"/>
  <c r="D23" i="1"/>
  <c r="B31" i="3"/>
  <c r="B52" i="3"/>
  <c r="B73" i="3"/>
  <c r="B66" i="3"/>
  <c r="B45" i="3"/>
  <c r="B43" i="3"/>
  <c r="B58" i="3"/>
  <c r="B34" i="3"/>
  <c r="B53" i="3"/>
  <c r="B38" i="3"/>
  <c r="B46" i="3"/>
  <c r="B54" i="3"/>
  <c r="B62" i="3"/>
  <c r="B67" i="3"/>
  <c r="B74" i="3"/>
  <c r="B57" i="3"/>
  <c r="B64" i="3"/>
  <c r="B72" i="3"/>
  <c r="B30" i="3"/>
  <c r="B39" i="3"/>
  <c r="B47" i="3"/>
  <c r="B56" i="3"/>
  <c r="B63" i="3"/>
  <c r="B68" i="3"/>
  <c r="B78" i="3"/>
  <c r="B77" i="3"/>
  <c r="B76" i="3"/>
  <c r="B35" i="3"/>
  <c r="B44" i="3"/>
  <c r="B51" i="3"/>
  <c r="B55" i="3"/>
  <c r="B61" i="3"/>
  <c r="B65" i="3"/>
  <c r="B71" i="3"/>
  <c r="C22" i="1"/>
  <c r="AD221" i="1" l="1"/>
  <c r="AE221" i="1"/>
  <c r="AF221" i="1"/>
  <c r="AF216" i="1"/>
  <c r="AE216" i="1"/>
  <c r="AD216" i="1"/>
  <c r="AF211" i="1"/>
  <c r="AE211" i="1"/>
  <c r="AD211" i="1"/>
  <c r="AD206" i="1"/>
  <c r="AE206" i="1"/>
  <c r="AF206" i="1"/>
  <c r="AF201" i="1"/>
  <c r="AE201" i="1"/>
  <c r="AD201" i="1"/>
  <c r="AD196" i="1"/>
  <c r="AE196" i="1"/>
  <c r="AF196" i="1"/>
  <c r="AF191" i="1"/>
  <c r="AE191" i="1"/>
  <c r="AD191" i="1"/>
  <c r="AD186" i="1"/>
  <c r="AE186" i="1"/>
  <c r="AF186" i="1"/>
  <c r="AF181" i="1"/>
  <c r="AE181" i="1"/>
  <c r="AD181" i="1"/>
  <c r="AD176" i="1"/>
  <c r="AE176" i="1"/>
  <c r="AF176" i="1"/>
  <c r="AF171" i="1"/>
  <c r="AE171" i="1"/>
  <c r="AD171" i="1"/>
  <c r="AD166" i="1"/>
  <c r="AE166" i="1"/>
  <c r="AF166" i="1"/>
  <c r="AF161" i="1"/>
  <c r="AE161" i="1"/>
  <c r="AD161" i="1"/>
  <c r="AD156" i="1"/>
  <c r="AE156" i="1"/>
  <c r="AF156" i="1"/>
  <c r="AF151" i="1"/>
  <c r="AE151" i="1"/>
  <c r="AD151" i="1"/>
  <c r="AD146" i="1"/>
  <c r="AE146" i="1"/>
  <c r="AF146" i="1"/>
  <c r="AF136" i="1"/>
  <c r="AE136" i="1"/>
  <c r="AD136" i="1"/>
  <c r="AD131" i="1"/>
  <c r="AE131" i="1"/>
  <c r="AF131" i="1"/>
  <c r="AF126" i="1"/>
  <c r="AE126" i="1"/>
  <c r="AD126" i="1"/>
  <c r="AD121" i="1"/>
  <c r="AE121" i="1"/>
  <c r="AF121" i="1"/>
  <c r="AF116" i="1"/>
  <c r="AE116" i="1"/>
  <c r="AD116" i="1"/>
  <c r="AD111" i="1"/>
  <c r="AE111" i="1"/>
  <c r="AF111" i="1"/>
  <c r="AF106" i="1"/>
  <c r="AE106" i="1"/>
  <c r="AD106" i="1"/>
  <c r="AD101" i="1"/>
  <c r="AE101" i="1"/>
  <c r="AF101" i="1"/>
  <c r="AD91" i="1"/>
  <c r="AE91" i="1"/>
  <c r="AF91" i="1"/>
  <c r="AD86" i="1"/>
  <c r="AE86" i="1"/>
  <c r="AF86" i="1"/>
  <c r="AF81" i="1"/>
  <c r="AE81" i="1"/>
  <c r="AD81" i="1"/>
  <c r="AD71" i="1"/>
  <c r="AE71" i="1"/>
  <c r="AF71" i="1"/>
  <c r="AF66" i="1"/>
  <c r="AE66" i="1"/>
  <c r="AD66" i="1"/>
  <c r="AD61" i="1"/>
  <c r="AE61" i="1"/>
  <c r="AF61" i="1"/>
  <c r="AD56" i="1"/>
  <c r="AE56" i="1"/>
  <c r="AF56" i="1"/>
  <c r="AF51" i="1"/>
  <c r="AE51" i="1"/>
  <c r="AD51" i="1"/>
  <c r="AD46" i="1"/>
  <c r="AE46" i="1"/>
  <c r="AF46" i="1"/>
  <c r="C36" i="1" l="1"/>
  <c r="Q366" i="1"/>
  <c r="J365" i="1"/>
  <c r="Q365" i="1"/>
  <c r="J363" i="1"/>
  <c r="I363" i="1"/>
  <c r="M365" i="1"/>
  <c r="C388" i="1"/>
  <c r="C364" i="1"/>
  <c r="C367" i="1"/>
  <c r="C362" i="1"/>
  <c r="C360" i="1"/>
  <c r="C359" i="1"/>
  <c r="R353" i="1"/>
  <c r="S353" i="1"/>
  <c r="M353" i="1"/>
  <c r="N353" i="1"/>
  <c r="O353" i="1"/>
  <c r="I353" i="1"/>
  <c r="J353" i="1"/>
  <c r="K353" i="1"/>
  <c r="E353" i="1"/>
  <c r="C338" i="1"/>
  <c r="C372" i="1"/>
  <c r="C333" i="1"/>
  <c r="P328" i="1"/>
  <c r="C328" i="1" s="1"/>
  <c r="D5" i="1"/>
  <c r="C298" i="1"/>
  <c r="C297" i="1"/>
  <c r="C292" i="1"/>
  <c r="C291" i="1"/>
  <c r="C286" i="1"/>
  <c r="C285" i="1"/>
  <c r="C280" i="1"/>
  <c r="C279" i="1"/>
  <c r="C274" i="1"/>
  <c r="C273" i="1"/>
  <c r="C268" i="1"/>
  <c r="C267" i="1"/>
  <c r="C262" i="1"/>
  <c r="C261" i="1"/>
  <c r="C256" i="1"/>
  <c r="C255" i="1"/>
  <c r="C250" i="1"/>
  <c r="C249" i="1"/>
  <c r="C244" i="1"/>
  <c r="C243" i="1"/>
  <c r="C238" i="1"/>
  <c r="C237" i="1"/>
  <c r="C232" i="1"/>
  <c r="C231" i="1"/>
  <c r="C226" i="1"/>
  <c r="C206" i="1"/>
  <c r="C186" i="1"/>
  <c r="C166" i="1"/>
  <c r="C146" i="1"/>
  <c r="C211" i="1"/>
  <c r="C196" i="1"/>
  <c r="C191" i="1"/>
  <c r="C176" i="1"/>
  <c r="C171" i="1"/>
  <c r="C156" i="1"/>
  <c r="C151" i="1"/>
  <c r="C141" i="1"/>
  <c r="C136" i="1"/>
  <c r="C126" i="1"/>
  <c r="C121" i="1"/>
  <c r="C111" i="1"/>
  <c r="C116" i="1"/>
  <c r="C96" i="1"/>
  <c r="C76" i="1"/>
  <c r="C51" i="1"/>
  <c r="C41" i="1"/>
  <c r="C50" i="3" l="1"/>
  <c r="D46" i="6"/>
  <c r="C56" i="3"/>
  <c r="D52" i="6"/>
  <c r="C64" i="3"/>
  <c r="D60" i="6"/>
  <c r="C73" i="3"/>
  <c r="D69" i="6"/>
  <c r="C71" i="3"/>
  <c r="D67" i="6"/>
  <c r="C104" i="3"/>
  <c r="D100" i="6"/>
  <c r="C110" i="3"/>
  <c r="D106" i="6"/>
  <c r="C115" i="3"/>
  <c r="D111" i="6"/>
  <c r="C126" i="3"/>
  <c r="D122" i="6"/>
  <c r="C128" i="3"/>
  <c r="D124" i="6"/>
  <c r="C133" i="3"/>
  <c r="D129" i="6"/>
  <c r="C153" i="3"/>
  <c r="D149" i="6"/>
  <c r="C171" i="3"/>
  <c r="D167" i="6"/>
  <c r="C31" i="3"/>
  <c r="D27" i="6"/>
  <c r="C54" i="3"/>
  <c r="D50" i="6"/>
  <c r="C58" i="3"/>
  <c r="D54" i="6"/>
  <c r="C67" i="3"/>
  <c r="D63" i="6"/>
  <c r="C76" i="3"/>
  <c r="D72" i="6"/>
  <c r="C75" i="3"/>
  <c r="D71" i="6"/>
  <c r="C103" i="3"/>
  <c r="D99" i="6"/>
  <c r="C109" i="3"/>
  <c r="D105" i="6"/>
  <c r="C118" i="3"/>
  <c r="D114" i="6"/>
  <c r="C123" i="3"/>
  <c r="D119" i="6"/>
  <c r="C125" i="3"/>
  <c r="D121" i="6"/>
  <c r="C136" i="3"/>
  <c r="D132" i="6"/>
  <c r="D150" i="6"/>
  <c r="D90" i="6"/>
  <c r="C162" i="3"/>
  <c r="D158" i="6"/>
  <c r="C168" i="3"/>
  <c r="D164" i="6"/>
  <c r="C30" i="3"/>
  <c r="D26" i="6"/>
  <c r="C35" i="3"/>
  <c r="D31" i="6"/>
  <c r="C53" i="3"/>
  <c r="D49" i="6"/>
  <c r="C61" i="3"/>
  <c r="D57" i="6"/>
  <c r="C68" i="3"/>
  <c r="D64" i="6"/>
  <c r="C62" i="3"/>
  <c r="D58" i="6"/>
  <c r="C99" i="3"/>
  <c r="D95" i="6"/>
  <c r="C105" i="3"/>
  <c r="D101" i="6"/>
  <c r="C111" i="3"/>
  <c r="D107" i="6"/>
  <c r="C119" i="3"/>
  <c r="D115" i="6"/>
  <c r="C127" i="3"/>
  <c r="D123" i="6"/>
  <c r="C129" i="3"/>
  <c r="D125" i="6"/>
  <c r="C137" i="3"/>
  <c r="D133" i="6"/>
  <c r="C173" i="3"/>
  <c r="D169" i="6"/>
  <c r="C163" i="3"/>
  <c r="D159" i="6"/>
  <c r="C180" i="3"/>
  <c r="D176" i="6"/>
  <c r="C44" i="3"/>
  <c r="D40" i="6"/>
  <c r="C55" i="3"/>
  <c r="D51" i="6"/>
  <c r="C63" i="3"/>
  <c r="D59" i="6"/>
  <c r="C72" i="3"/>
  <c r="D68" i="6"/>
  <c r="C66" i="3"/>
  <c r="D62" i="6"/>
  <c r="C102" i="3"/>
  <c r="D98" i="6"/>
  <c r="C108" i="3"/>
  <c r="D104" i="6"/>
  <c r="C114" i="3"/>
  <c r="D110" i="6"/>
  <c r="C122" i="3"/>
  <c r="D118" i="6"/>
  <c r="C124" i="3"/>
  <c r="D120" i="6"/>
  <c r="C132" i="3"/>
  <c r="D128" i="6"/>
  <c r="C155" i="3"/>
  <c r="D151" i="6"/>
  <c r="C165" i="3"/>
  <c r="D161" i="6"/>
  <c r="C154" i="3"/>
  <c r="C94" i="3"/>
  <c r="C24" i="1"/>
  <c r="C365" i="1"/>
  <c r="C216" i="1"/>
  <c r="C131" i="1"/>
  <c r="C46" i="1"/>
  <c r="C101" i="1"/>
  <c r="C56" i="1"/>
  <c r="C106" i="1"/>
  <c r="C66" i="1"/>
  <c r="C86" i="1"/>
  <c r="C91" i="1"/>
  <c r="C161" i="1"/>
  <c r="C181" i="1"/>
  <c r="C201" i="1"/>
  <c r="C221" i="1"/>
  <c r="C353" i="1"/>
  <c r="C377" i="1"/>
  <c r="D171" i="6" s="1"/>
  <c r="C348" i="1"/>
  <c r="C81" i="1"/>
  <c r="C61" i="1"/>
  <c r="C71" i="1"/>
  <c r="I308" i="1" l="1"/>
  <c r="J308" i="1"/>
  <c r="F308" i="1"/>
  <c r="H308" i="1"/>
  <c r="G308" i="1"/>
  <c r="K308" i="1"/>
  <c r="C157" i="3"/>
  <c r="D153" i="6"/>
  <c r="C74" i="3"/>
  <c r="D70" i="6"/>
  <c r="C46" i="3"/>
  <c r="D42" i="6"/>
  <c r="C51" i="3"/>
  <c r="D47" i="6"/>
  <c r="C169" i="3"/>
  <c r="D165" i="6"/>
  <c r="C43" i="3"/>
  <c r="D39" i="6"/>
  <c r="C69" i="3"/>
  <c r="D65" i="6"/>
  <c r="C40" i="3"/>
  <c r="D36" i="6"/>
  <c r="C34" i="3"/>
  <c r="D30" i="6"/>
  <c r="C39" i="3"/>
  <c r="D35" i="6"/>
  <c r="C65" i="3"/>
  <c r="D61" i="6"/>
  <c r="C52" i="3"/>
  <c r="D48" i="6"/>
  <c r="C57" i="3"/>
  <c r="D53" i="6"/>
  <c r="C45" i="3"/>
  <c r="D41" i="6"/>
  <c r="C78" i="3"/>
  <c r="D74" i="6"/>
  <c r="C47" i="3"/>
  <c r="D43" i="6"/>
  <c r="C38" i="3"/>
  <c r="D34" i="6"/>
  <c r="C77" i="3"/>
  <c r="D73" i="6"/>
  <c r="C158" i="3"/>
  <c r="D154" i="6"/>
  <c r="P313" i="1"/>
  <c r="P343" i="1" s="1"/>
  <c r="O313" i="1"/>
  <c r="O343" i="1" s="1"/>
  <c r="G313" i="1"/>
  <c r="J313" i="1"/>
  <c r="H313" i="1"/>
  <c r="AA313" i="1"/>
  <c r="I313" i="1"/>
  <c r="E313" i="1"/>
  <c r="F313" i="1"/>
  <c r="Q313" i="1"/>
  <c r="Q343" i="1" s="1"/>
  <c r="R313" i="1"/>
  <c r="R343" i="1" s="1"/>
  <c r="L313" i="1"/>
  <c r="L343" i="1" s="1"/>
  <c r="S313" i="1"/>
  <c r="S343" i="1" s="1"/>
  <c r="D313" i="1"/>
  <c r="M313" i="1"/>
  <c r="M343" i="1" s="1"/>
  <c r="N313" i="1"/>
  <c r="N343" i="1" s="1"/>
  <c r="K313" i="1"/>
  <c r="C378" i="1"/>
  <c r="C175" i="3"/>
  <c r="U313" i="1"/>
  <c r="AD313" i="1"/>
  <c r="T313" i="1"/>
  <c r="V313" i="1"/>
  <c r="AE313" i="1"/>
  <c r="AI323" i="1"/>
  <c r="AC313" i="1"/>
  <c r="AB313" i="1"/>
  <c r="AH323" i="1"/>
  <c r="S303" i="1"/>
  <c r="S383" i="1" s="1"/>
  <c r="R303" i="1"/>
  <c r="R383" i="1" s="1"/>
  <c r="Q303" i="1"/>
  <c r="Q383" i="1" s="1"/>
  <c r="AH318" i="1"/>
  <c r="I361" i="1"/>
  <c r="I366" i="1" s="1"/>
  <c r="M361" i="1"/>
  <c r="M366" i="1" s="1"/>
  <c r="AI313" i="1"/>
  <c r="AF323" i="1"/>
  <c r="AA323" i="1"/>
  <c r="O308" i="1"/>
  <c r="M308" i="1"/>
  <c r="AC318" i="1"/>
  <c r="S318" i="1"/>
  <c r="L318" i="1"/>
  <c r="F318" i="1"/>
  <c r="AI303" i="1"/>
  <c r="AI383" i="1" s="1"/>
  <c r="V308" i="1"/>
  <c r="H361" i="1"/>
  <c r="H366" i="1" s="1"/>
  <c r="Z318" i="1"/>
  <c r="O361" i="1"/>
  <c r="P358" i="1"/>
  <c r="P363" i="1" s="1"/>
  <c r="AG303" i="1"/>
  <c r="AG383" i="1" s="1"/>
  <c r="AD323" i="1"/>
  <c r="Z313" i="1"/>
  <c r="S308" i="1"/>
  <c r="Q308" i="1"/>
  <c r="AB318" i="1"/>
  <c r="R318" i="1"/>
  <c r="M318" i="1"/>
  <c r="K318" i="1"/>
  <c r="E318" i="1"/>
  <c r="AG313" i="1"/>
  <c r="W313" i="1"/>
  <c r="AE303" i="1"/>
  <c r="AE383" i="1" s="1"/>
  <c r="AG318" i="1"/>
  <c r="AI318" i="1"/>
  <c r="J361" i="1"/>
  <c r="J366" i="1" s="1"/>
  <c r="AH313" i="1"/>
  <c r="O358" i="1"/>
  <c r="O363" i="1" s="1"/>
  <c r="AE323" i="1"/>
  <c r="Y313" i="1"/>
  <c r="L308" i="1"/>
  <c r="N308" i="1"/>
  <c r="AA318" i="1"/>
  <c r="Q318" i="1"/>
  <c r="P318" i="1"/>
  <c r="J318" i="1"/>
  <c r="D318" i="1"/>
  <c r="I318" i="1"/>
  <c r="X313" i="1"/>
  <c r="AH303" i="1"/>
  <c r="AH383" i="1" s="1"/>
  <c r="U308" i="1"/>
  <c r="W308" i="1"/>
  <c r="Y318" i="1"/>
  <c r="N361" i="1"/>
  <c r="N366" i="1" s="1"/>
  <c r="N358" i="1"/>
  <c r="AC323" i="1"/>
  <c r="AB323" i="1"/>
  <c r="P308" i="1"/>
  <c r="R308" i="1"/>
  <c r="AD318" i="1"/>
  <c r="X318" i="1"/>
  <c r="O318" i="1"/>
  <c r="N318" i="1"/>
  <c r="H318" i="1"/>
  <c r="G318" i="1"/>
  <c r="AF313" i="1"/>
  <c r="AD303" i="1"/>
  <c r="AD383" i="1" s="1"/>
  <c r="AF303" i="1"/>
  <c r="AF383" i="1" s="1"/>
  <c r="AG323" i="1"/>
  <c r="C176" i="3" l="1"/>
  <c r="D172" i="6"/>
  <c r="C318" i="1"/>
  <c r="C308" i="1"/>
  <c r="C323" i="1"/>
  <c r="C383" i="1"/>
  <c r="C361" i="1"/>
  <c r="O366" i="1"/>
  <c r="C366" i="1" s="1"/>
  <c r="C313" i="1"/>
  <c r="C358" i="1"/>
  <c r="N363" i="1"/>
  <c r="C363" i="1" s="1"/>
  <c r="C303" i="1"/>
  <c r="C343" i="1"/>
  <c r="C161" i="3" l="1"/>
  <c r="D157" i="6"/>
  <c r="C178" i="3"/>
  <c r="D174" i="6"/>
  <c r="C156" i="3"/>
  <c r="D152" i="6"/>
  <c r="C145" i="3"/>
  <c r="D141" i="6"/>
  <c r="C147" i="3"/>
  <c r="D143" i="6"/>
  <c r="C143" i="3"/>
  <c r="D139" i="6"/>
  <c r="C170" i="3"/>
  <c r="D166" i="6"/>
  <c r="C144" i="3"/>
  <c r="D140" i="6"/>
  <c r="C167" i="3"/>
  <c r="D163" i="6"/>
  <c r="C164" i="3"/>
  <c r="D160" i="6"/>
  <c r="C146" i="3"/>
  <c r="D14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dex_LPDDR1_200MHz1.inc" type="6" refreshedVersion="3" deleted="1" background="1" saveData="1">
    <textPr codePage="932" sourceFile="C:\Documents and Settings\mwilliamson\Desktop\Codex_LPDDR1_200MHz.inc.txt" delimited="0">
      <textFields count="4">
        <textField/>
        <textField position="11"/>
        <textField position="24"/>
        <textField position="34"/>
      </textFields>
    </textPr>
  </connection>
</connections>
</file>

<file path=xl/sharedStrings.xml><?xml version="1.0" encoding="utf-8"?>
<sst xmlns="http://schemas.openxmlformats.org/spreadsheetml/2006/main" count="1212" uniqueCount="752">
  <si>
    <t>Device Information</t>
  </si>
  <si>
    <t>Memory type:</t>
  </si>
  <si>
    <t>Manufacturer:</t>
  </si>
  <si>
    <t>Memory part number:</t>
  </si>
  <si>
    <t>0x020e0798</t>
  </si>
  <si>
    <t>DDR_SEL</t>
  </si>
  <si>
    <t>register value (hex)</t>
  </si>
  <si>
    <t>0x020e0758</t>
  </si>
  <si>
    <t>PKE</t>
  </si>
  <si>
    <t>0x021b000c</t>
  </si>
  <si>
    <t>tRFC</t>
  </si>
  <si>
    <t>tXS</t>
  </si>
  <si>
    <t>tXP</t>
  </si>
  <si>
    <t>tXPDLL</t>
  </si>
  <si>
    <t>tFAW</t>
  </si>
  <si>
    <t>tCL</t>
  </si>
  <si>
    <t>0x020e0588</t>
  </si>
  <si>
    <t>DDR_INPUT</t>
  </si>
  <si>
    <t>HYS</t>
  </si>
  <si>
    <t>ODT</t>
  </si>
  <si>
    <t>DSE</t>
  </si>
  <si>
    <t>0x020e0594</t>
  </si>
  <si>
    <t>Bus Width</t>
  </si>
  <si>
    <t>Number of Banks</t>
  </si>
  <si>
    <t>Number of ROW Addresses</t>
  </si>
  <si>
    <t>Number of COLUMN Addresses</t>
  </si>
  <si>
    <t>System Information</t>
  </si>
  <si>
    <t>DRAM Clock Freq (MHz)</t>
  </si>
  <si>
    <t>DRAM Clock Cycle Time (ns)</t>
  </si>
  <si>
    <t>CAS READ latency (CL)</t>
  </si>
  <si>
    <t>DRAM density (Gb)</t>
  </si>
  <si>
    <t>DRAM Bus Width</t>
  </si>
  <si>
    <t>Number of Chip Selects used</t>
  </si>
  <si>
    <t>GRP_DDR_TYPE</t>
  </si>
  <si>
    <t>0x020e056c</t>
  </si>
  <si>
    <t>0x020e0578</t>
  </si>
  <si>
    <t>0x020e074c</t>
  </si>
  <si>
    <t>0x020e057c</t>
  </si>
  <si>
    <t>PUS</t>
  </si>
  <si>
    <t>PUE</t>
  </si>
  <si>
    <t>0x020e058c</t>
  </si>
  <si>
    <t>0x020e059c</t>
  </si>
  <si>
    <t>0x020e05a0</t>
  </si>
  <si>
    <t>0x020e078c</t>
  </si>
  <si>
    <t>0x020e0750</t>
  </si>
  <si>
    <t>0x020e05a8</t>
  </si>
  <si>
    <t>0x020e05b0</t>
  </si>
  <si>
    <t>0x020e0524</t>
  </si>
  <si>
    <t>0x020e051c</t>
  </si>
  <si>
    <t>0x020e0518</t>
  </si>
  <si>
    <t>0x020e050c</t>
  </si>
  <si>
    <t>0x020e05b8</t>
  </si>
  <si>
    <t>0x020e05c0</t>
  </si>
  <si>
    <t>0x020e0774</t>
  </si>
  <si>
    <t>0x020e0784</t>
  </si>
  <si>
    <t>0x020e0788</t>
  </si>
  <si>
    <t>0x020e0794</t>
  </si>
  <si>
    <t>0x020e079c</t>
  </si>
  <si>
    <t>0x020e07a0</t>
  </si>
  <si>
    <t>0x020e07a4</t>
  </si>
  <si>
    <t>0x020e0748</t>
  </si>
  <si>
    <t>0x020e07a8</t>
  </si>
  <si>
    <t>0x020e05ac</t>
  </si>
  <si>
    <t>0x020e05b4</t>
  </si>
  <si>
    <t>0x020e0528</t>
  </si>
  <si>
    <t>0x020e0520</t>
  </si>
  <si>
    <t>0x020e0514</t>
  </si>
  <si>
    <t>0x020e0510</t>
  </si>
  <si>
    <t>0x020e05bc</t>
  </si>
  <si>
    <t>0x020e05c4</t>
  </si>
  <si>
    <t>ZQ_EARLY_COMPARATOR_EN_TIMER</t>
  </si>
  <si>
    <t>TZQ_CS</t>
  </si>
  <si>
    <t>TZQ_OPER</t>
  </si>
  <si>
    <t>TZQ_INIT</t>
  </si>
  <si>
    <t>ZQ_HW_FOR</t>
  </si>
  <si>
    <t>ZQ_HW_PER</t>
  </si>
  <si>
    <t>ZQ_MODE</t>
  </si>
  <si>
    <t>0x021b080c</t>
  </si>
  <si>
    <t>WL_CYC_DEL1</t>
  </si>
  <si>
    <t>WL_HC_DEL1</t>
  </si>
  <si>
    <t>WL_DL_ABS_OFFSET1</t>
  </si>
  <si>
    <t>WL_CYC_DEL0</t>
  </si>
  <si>
    <t>WL_HC_DEL0</t>
  </si>
  <si>
    <t>WL_DL_ABS_OFFSET0</t>
  </si>
  <si>
    <t>0x021b0810</t>
  </si>
  <si>
    <t>WL_CYC_DEL3</t>
  </si>
  <si>
    <t>WL_HC_DEL3</t>
  </si>
  <si>
    <t>WL_DL_ABS_OFFSET3</t>
  </si>
  <si>
    <t>WL_CYC_DEL2</t>
  </si>
  <si>
    <t>WL_HC_DEL2</t>
  </si>
  <si>
    <t>WL_DL_ABS_OFFSET2</t>
  </si>
  <si>
    <t>0x021b480c</t>
  </si>
  <si>
    <t>0x021b083c</t>
  </si>
  <si>
    <t>RST_RD_FIFO</t>
  </si>
  <si>
    <t>DG_CMP_CYC</t>
  </si>
  <si>
    <t>DG_DIS</t>
  </si>
  <si>
    <t>DG_HC_DEL1</t>
  </si>
  <si>
    <t>HW_DG_EN</t>
  </si>
  <si>
    <t>DG_EXT_UP</t>
  </si>
  <si>
    <t>DG_DL_ABS_OFFSET1</t>
  </si>
  <si>
    <t>DG_HC_DEL0</t>
  </si>
  <si>
    <t>DG_DL_ABS_OFFSET0</t>
  </si>
  <si>
    <t>0x021b0840</t>
  </si>
  <si>
    <t>DG_HC_DEL3</t>
  </si>
  <si>
    <t>DG_DL_ABS_OFFSET3</t>
  </si>
  <si>
    <t>DG_HC_DEL2</t>
  </si>
  <si>
    <t>DG_DL_ABS_OFFSET2</t>
  </si>
  <si>
    <t>0x021b483c</t>
  </si>
  <si>
    <t>0x021b4840</t>
  </si>
  <si>
    <t>0x021b0848</t>
  </si>
  <si>
    <t>RD_DL_ABS_OFFSET3</t>
  </si>
  <si>
    <t>RD_DL_ABS_OFFSET2</t>
  </si>
  <si>
    <t>RD_DL_ABS_OFFSET1</t>
  </si>
  <si>
    <t>RD_DL_ABS_OFFSET0</t>
  </si>
  <si>
    <t>0x021b4848</t>
  </si>
  <si>
    <t>0x021b0850</t>
  </si>
  <si>
    <t>WR_DL_ABS_OFFSET3</t>
  </si>
  <si>
    <t>WR_DL_ABS_OFFSET2</t>
  </si>
  <si>
    <t>WR_DL_ABS_OFFSET1</t>
  </si>
  <si>
    <t>WR_DL_ABS_OFFSET0</t>
  </si>
  <si>
    <t>0x021b4850</t>
  </si>
  <si>
    <t>0x021b081c</t>
  </si>
  <si>
    <t>rd_dq7_del</t>
  </si>
  <si>
    <t>rd_dq6_del</t>
  </si>
  <si>
    <t>rd_dq5_del</t>
  </si>
  <si>
    <t>rd_dq4_del</t>
  </si>
  <si>
    <t>rd_dq3_del</t>
  </si>
  <si>
    <t>rd_dq2_del</t>
  </si>
  <si>
    <t>rd_dq1_del</t>
  </si>
  <si>
    <t>rd_dq0_del</t>
  </si>
  <si>
    <t>0x021b0820</t>
  </si>
  <si>
    <t>rd_dq8_del</t>
  </si>
  <si>
    <t>rd_dq9_del</t>
  </si>
  <si>
    <t>rd_dq10_del</t>
  </si>
  <si>
    <t>rd_dq11_del</t>
  </si>
  <si>
    <t>rd_dq12_del</t>
  </si>
  <si>
    <t>rd_dq13_del</t>
  </si>
  <si>
    <t>rd_dq14_del</t>
  </si>
  <si>
    <t>rd_dq15_del</t>
  </si>
  <si>
    <t>0x021b0824</t>
  </si>
  <si>
    <t>0x021b0828</t>
  </si>
  <si>
    <t>rd_dq16_del</t>
  </si>
  <si>
    <t>rd_dq17_del</t>
  </si>
  <si>
    <t>rd_dq18_del</t>
  </si>
  <si>
    <t>rd_dq19_del</t>
  </si>
  <si>
    <t>rd_dq20_del</t>
  </si>
  <si>
    <t>rd_dq21_del</t>
  </si>
  <si>
    <t>rd_dq22_del</t>
  </si>
  <si>
    <t>rd_dq23_del</t>
  </si>
  <si>
    <t>rd_dq24_del</t>
  </si>
  <si>
    <t>rd_dq25_del</t>
  </si>
  <si>
    <t>rd_dq26_del</t>
  </si>
  <si>
    <t>rd_dq27_del</t>
  </si>
  <si>
    <t>rd_dq28_del</t>
  </si>
  <si>
    <t>rd_dq29_del</t>
  </si>
  <si>
    <t>rd_dq30_del</t>
  </si>
  <si>
    <t>rd_dq31_del</t>
  </si>
  <si>
    <t>0x021b4828</t>
  </si>
  <si>
    <t>0x021b481c</t>
  </si>
  <si>
    <t>0x021b4820</t>
  </si>
  <si>
    <t>0x021b4824</t>
  </si>
  <si>
    <t>0x021b08c0</t>
  </si>
  <si>
    <t>RD_DQS3_FT_DCC</t>
  </si>
  <si>
    <t>RD_DQS2_FT_DCC</t>
  </si>
  <si>
    <t>RD_DQS1_FT_DCC</t>
  </si>
  <si>
    <t>RD_DQS0_FT_DCC</t>
  </si>
  <si>
    <t>CK_FT1_DCC</t>
  </si>
  <si>
    <t>CK_FT0_DCC</t>
  </si>
  <si>
    <t>WR_DQS3_FT_DCC</t>
  </si>
  <si>
    <t>WR_DQS2_FT_DCC</t>
  </si>
  <si>
    <t>WR_DQS1_FT_DCC</t>
  </si>
  <si>
    <t>WR_DQS0_FT_DCC</t>
  </si>
  <si>
    <t>0x021b48c0</t>
  </si>
  <si>
    <t>0x021b08b8</t>
  </si>
  <si>
    <t>FRC_MSR</t>
  </si>
  <si>
    <t>MU_BYP_EN</t>
  </si>
  <si>
    <t>MU_BPY_VAL</t>
  </si>
  <si>
    <t>0x021b48b8</t>
  </si>
  <si>
    <t>0x021b0004</t>
  </si>
  <si>
    <t>PRCT_1</t>
  </si>
  <si>
    <t>PRCT_0</t>
  </si>
  <si>
    <t>tCKE</t>
  </si>
  <si>
    <t>PWDT_1</t>
  </si>
  <si>
    <t>PWDT_0</t>
  </si>
  <si>
    <t>SL_OW_PD</t>
  </si>
  <si>
    <t>BOTH_CS_PD</t>
  </si>
  <si>
    <t>tCKSRX</t>
  </si>
  <si>
    <t>tCKSRE</t>
  </si>
  <si>
    <t>0x021b0008</t>
  </si>
  <si>
    <t>tAOFPD</t>
  </si>
  <si>
    <t>tAONPD</t>
  </si>
  <si>
    <t>tANPD</t>
  </si>
  <si>
    <t>tAXPD</t>
  </si>
  <si>
    <t>tODTLon</t>
  </si>
  <si>
    <t>tODT_idle_off</t>
  </si>
  <si>
    <t>0x021b0010</t>
  </si>
  <si>
    <t>tRCD</t>
  </si>
  <si>
    <t>tRP</t>
  </si>
  <si>
    <t>tRC</t>
  </si>
  <si>
    <t>tRAS</t>
  </si>
  <si>
    <t>tRPA</t>
  </si>
  <si>
    <t>tWR</t>
  </si>
  <si>
    <t>tMRD</t>
  </si>
  <si>
    <t>tCWL</t>
  </si>
  <si>
    <t>0x021b0014</t>
  </si>
  <si>
    <t>tDLLK</t>
  </si>
  <si>
    <t>tRTP</t>
  </si>
  <si>
    <t>tWTR</t>
  </si>
  <si>
    <t>tRRD</t>
  </si>
  <si>
    <t>0x021b0018</t>
  </si>
  <si>
    <t>CALIB_PER_CS</t>
  </si>
  <si>
    <t>ADDR_MIRROR</t>
  </si>
  <si>
    <t>LHD</t>
  </si>
  <si>
    <t>WALAT</t>
  </si>
  <si>
    <t>BI_ON</t>
  </si>
  <si>
    <t>LPDDR2_S2</t>
  </si>
  <si>
    <t>MIF3_MODE</t>
  </si>
  <si>
    <t>RALAT</t>
  </si>
  <si>
    <t>DDR_4_BANK</t>
  </si>
  <si>
    <t>DDR_TYPE</t>
  </si>
  <si>
    <t>LPDDR2_CH2</t>
  </si>
  <si>
    <t>RST</t>
  </si>
  <si>
    <t>0x021b002c</t>
  </si>
  <si>
    <t>0x021b001c</t>
  </si>
  <si>
    <r>
      <t xml:space="preserve">Register address (HEX): </t>
    </r>
    <r>
      <rPr>
        <sz val="11"/>
        <color theme="1"/>
        <rFont val="Calibri"/>
        <family val="2"/>
        <scheme val="minor"/>
      </rPr>
      <t>MDSCR</t>
    </r>
  </si>
  <si>
    <t>CMD_ADDR_MSB_MR_OP</t>
  </si>
  <si>
    <t>CMD_ADDR_LSB_MR_ADDR</t>
  </si>
  <si>
    <t>CON_REQ</t>
  </si>
  <si>
    <t>WL_EN</t>
  </si>
  <si>
    <t>CMD</t>
  </si>
  <si>
    <t>CMD_CS</t>
  </si>
  <si>
    <t>CMD_BA</t>
  </si>
  <si>
    <t>RTW_SAME</t>
  </si>
  <si>
    <t>WTR_DIFF</t>
  </si>
  <si>
    <t>WTW_DIFF</t>
  </si>
  <si>
    <t>RTW_DIFF</t>
  </si>
  <si>
    <t>RTR_DIFF</t>
  </si>
  <si>
    <t>tDAI</t>
  </si>
  <si>
    <t>0x021b0030</t>
  </si>
  <si>
    <t>SDE_to_RST</t>
  </si>
  <si>
    <t>RST_to_CKE</t>
  </si>
  <si>
    <t>tXPR</t>
  </si>
  <si>
    <t>CS0_END</t>
  </si>
  <si>
    <t>0x021b0040</t>
  </si>
  <si>
    <t>0x021b0000</t>
  </si>
  <si>
    <t>SDE_0</t>
  </si>
  <si>
    <t>SDE_1</t>
  </si>
  <si>
    <t>ROW</t>
  </si>
  <si>
    <t>COL</t>
  </si>
  <si>
    <t>BL</t>
  </si>
  <si>
    <t>CS0_MR2</t>
  </si>
  <si>
    <t>CS0_MR3</t>
  </si>
  <si>
    <t>CS0_MR1</t>
  </si>
  <si>
    <t>CS0_MR0</t>
  </si>
  <si>
    <t>CS0_ZQ</t>
  </si>
  <si>
    <t>CS1_MR2</t>
  </si>
  <si>
    <t>CS1_MR3</t>
  </si>
  <si>
    <t>CS1_MR1</t>
  </si>
  <si>
    <t>CS1_MR0</t>
  </si>
  <si>
    <t>CS1_ZQ</t>
  </si>
  <si>
    <t>0x021b0020</t>
  </si>
  <si>
    <t>REF_CNT</t>
  </si>
  <si>
    <t>REF_SEL</t>
  </si>
  <si>
    <t>REFR</t>
  </si>
  <si>
    <t>START_REF</t>
  </si>
  <si>
    <t>0x021b0818</t>
  </si>
  <si>
    <t>ODT3_INT_RES</t>
  </si>
  <si>
    <t>ODT2_INT_RES</t>
  </si>
  <si>
    <t>ODT1_INT_RES</t>
  </si>
  <si>
    <t>ODT0_INT_RES</t>
  </si>
  <si>
    <t>ODT_RD_ACT_EN</t>
  </si>
  <si>
    <t>ODT_RD_PAS_EN</t>
  </si>
  <si>
    <t>ODT_WR_ACT_EN</t>
  </si>
  <si>
    <t>ODT_WR_PAS_EN</t>
  </si>
  <si>
    <t>0x021b4818</t>
  </si>
  <si>
    <t>0x021b0404</t>
  </si>
  <si>
    <t>DVFS</t>
  </si>
  <si>
    <t>LPMD</t>
  </si>
  <si>
    <t>PST</t>
  </si>
  <si>
    <t>PSD</t>
  </si>
  <si>
    <t xml:space="preserve">Register address (HEX): </t>
  </si>
  <si>
    <t>Page Size (K)</t>
  </si>
  <si>
    <t>GRP_DDRPKE</t>
  </si>
  <si>
    <t>DRAM_SDCLK0_P</t>
  </si>
  <si>
    <t>DRAM_SDCLK1_P</t>
  </si>
  <si>
    <t>DRAM_CAS_B</t>
  </si>
  <si>
    <t>DRAM_RAS_B</t>
  </si>
  <si>
    <t>GRP_ADDDS</t>
  </si>
  <si>
    <t>DRAM_RESET</t>
  </si>
  <si>
    <t>DRAM_SDBA2</t>
  </si>
  <si>
    <t>DRAM_ODT0</t>
  </si>
  <si>
    <t>DRAM_ODT1</t>
  </si>
  <si>
    <t>Register address (HEX):</t>
  </si>
  <si>
    <t xml:space="preserve"> GRP_CTLDS</t>
  </si>
  <si>
    <t>GRP_DDRMODE_CTL</t>
  </si>
  <si>
    <t>DRAM_SDQS0_P</t>
  </si>
  <si>
    <t>DRAM_SDQS1_P</t>
  </si>
  <si>
    <t>DRAM_SDQS2_P</t>
  </si>
  <si>
    <t>DRAM_SDQS3_P</t>
  </si>
  <si>
    <t>DRAM_SDQS4_P</t>
  </si>
  <si>
    <t>DRAM_SDQS5_P</t>
  </si>
  <si>
    <t>DRAM_SDQS6_P</t>
  </si>
  <si>
    <t>DRAM_SDQS7_P</t>
  </si>
  <si>
    <t>GRP_DDRMODE</t>
  </si>
  <si>
    <t>GRP_B0DS</t>
  </si>
  <si>
    <t>GRP_B1DS</t>
  </si>
  <si>
    <t>GRP_B2DS</t>
  </si>
  <si>
    <t>GRP_B3DS</t>
  </si>
  <si>
    <t>GRP_B4DS</t>
  </si>
  <si>
    <t>GRP_B5DS</t>
  </si>
  <si>
    <t>GRP_B6DS</t>
  </si>
  <si>
    <t>GRP_B7DS</t>
  </si>
  <si>
    <t>DRAM_DQM0</t>
  </si>
  <si>
    <t>DRAM_DQM1</t>
  </si>
  <si>
    <t>DRAM_DQM2</t>
  </si>
  <si>
    <t>DRAM_DQM3</t>
  </si>
  <si>
    <t>DRAM_DQM4</t>
  </si>
  <si>
    <t>DRAM_DQM5</t>
  </si>
  <si>
    <t>DRAM_DQM6</t>
  </si>
  <si>
    <t>DRAM_DQM7</t>
  </si>
  <si>
    <t>0x021b0800</t>
  </si>
  <si>
    <t>MPZQHWCTRL</t>
  </si>
  <si>
    <t>MPWLDECTRL0</t>
  </si>
  <si>
    <t>MPWLDECTRL1</t>
  </si>
  <si>
    <t>0x021b4810</t>
  </si>
  <si>
    <t>MPDGCTRL0</t>
  </si>
  <si>
    <t>MPDGCTRL1</t>
  </si>
  <si>
    <t>MPRDDLCTL</t>
  </si>
  <si>
    <t>MPWRDLCTL</t>
  </si>
  <si>
    <t>MPRDDQBY0DL</t>
  </si>
  <si>
    <t>MPRDDQBY1DL</t>
  </si>
  <si>
    <t>MPRDDQBY2DL</t>
  </si>
  <si>
    <t>MPRDDQBY3DL</t>
  </si>
  <si>
    <t>MPDCCR</t>
  </si>
  <si>
    <t>MPMUR0</t>
  </si>
  <si>
    <t>MDPDC</t>
  </si>
  <si>
    <t>DDR3-1600</t>
  </si>
  <si>
    <t>MDOTC</t>
  </si>
  <si>
    <t>MDCFG0</t>
  </si>
  <si>
    <t>MDCFG1</t>
  </si>
  <si>
    <t>tRCD=tRP=CL (ns)</t>
  </si>
  <si>
    <t>tRC Min (ns)</t>
  </si>
  <si>
    <t>tRAS Min (ns)</t>
  </si>
  <si>
    <t>MDCFG2</t>
  </si>
  <si>
    <t>MDMISC</t>
  </si>
  <si>
    <t>Address Mirror (for CS1)</t>
  </si>
  <si>
    <t>Disable</t>
  </si>
  <si>
    <t>MDSCR</t>
  </si>
  <si>
    <t>MDOR</t>
  </si>
  <si>
    <t>MDREF</t>
  </si>
  <si>
    <t>MDRWD</t>
  </si>
  <si>
    <t>MDASP</t>
  </si>
  <si>
    <t>MDCTL</t>
  </si>
  <si>
    <t>Density per chip select (Gb)</t>
  </si>
  <si>
    <t>MPODTCTRL</t>
  </si>
  <si>
    <t>MAPSR</t>
  </si>
  <si>
    <t>This tool only can be used for i.Mx6DQSDL with DDR3.</t>
  </si>
  <si>
    <t>The DDR3/DDR3L interface mode fully complies with JESD79-3D DDR3 JEDEC standard release April,2008.</t>
  </si>
  <si>
    <t>HOW TO USE</t>
  </si>
  <si>
    <t>NOTE</t>
  </si>
  <si>
    <t>Please ask DDR device vendor or FSL supporter if any unclear point is existed.</t>
  </si>
  <si>
    <t>Freescale have right to change this tool without notice.</t>
  </si>
  <si>
    <t xml:space="preserve">If the result is different with yours, please try to understand the setting and make decision. </t>
  </si>
  <si>
    <t>Please note that some settings only can impact efferency a little.</t>
  </si>
  <si>
    <t>Performance and stability are executed in this tool, no power saving is traded off.</t>
  </si>
  <si>
    <t>Version</t>
  </si>
  <si>
    <t>//=============================================================================</t>
  </si>
  <si>
    <t>// Revision History</t>
  </si>
  <si>
    <t>// v01</t>
  </si>
  <si>
    <t>wait = on</t>
  </si>
  <si>
    <t>// Disable</t>
  </si>
  <si>
    <t>WDOG</t>
  </si>
  <si>
    <t>setmem /16</t>
  </si>
  <si>
    <t>0x020bc000 =</t>
  </si>
  <si>
    <t>0x30</t>
  </si>
  <si>
    <t>// Enable all clocks (they are disabled by ROM code)</t>
  </si>
  <si>
    <t>setmem /32</t>
  </si>
  <si>
    <t>0x020c4068 =</t>
  </si>
  <si>
    <t>0xffffffff</t>
  </si>
  <si>
    <t>0x020c406c =</t>
  </si>
  <si>
    <t>0x020c4070 =</t>
  </si>
  <si>
    <t>0x020c4074 =</t>
  </si>
  <si>
    <t>0x020c4078 =</t>
  </si>
  <si>
    <t>0x020c407c =</t>
  </si>
  <si>
    <t>0x020c4080 =</t>
  </si>
  <si>
    <t>// IOMUX</t>
  </si>
  <si>
    <t>//DDR IO TYPE:</t>
  </si>
  <si>
    <t>// IOMUXC_SW_PAD_CTL_GRP_DDRMODE</t>
  </si>
  <si>
    <t xml:space="preserve">// IOMUXC_SW_PAD_CTL_GRP_DDRPKE </t>
  </si>
  <si>
    <t>//CLOCK:</t>
  </si>
  <si>
    <t>// IOMUXC_SW_PAD_CTL_PAD_DRAM_SDCLK_0</t>
  </si>
  <si>
    <t>// IOMUXC_SW_PAD_CTL_PAD_DRAM_SDCLK_1</t>
  </si>
  <si>
    <t>//Control:</t>
  </si>
  <si>
    <t>// IOMUXC_SW_PAD_CTL_PAD_DRAM_CAS</t>
  </si>
  <si>
    <t>// IOMUXC_SW_PAD_CTL_PAD_DRAM_RAS</t>
  </si>
  <si>
    <t>// IOMUXC_SW_PAD_CTL_PAD_DRAM_RESET</t>
  </si>
  <si>
    <t>0x00000000</t>
  </si>
  <si>
    <t>// IOMUXC_SW_PAD_CTL_PAD_DRAM_SDBA2 - DSE can be configured using Group Control Register: IOMUXC_SW_PAD_CTL_GRP_CTLDS</t>
  </si>
  <si>
    <t>// IOMUXC_SW_PAD_CTL_PAD_DRAM_SDODT0</t>
  </si>
  <si>
    <t>// IOMUXC_SW_PAD_CTL_PAD_DRAM_SDODT1</t>
  </si>
  <si>
    <t>0x020e074c =</t>
  </si>
  <si>
    <t xml:space="preserve">// IOMUXC_SW_PAD_CTL_GRP_ADDDS </t>
  </si>
  <si>
    <t xml:space="preserve">// IOMUXC_SW_PAD_CTL_GRP_CTLDS </t>
  </si>
  <si>
    <t>//Data Strobes:</t>
  </si>
  <si>
    <t>0x020e0750 =</t>
  </si>
  <si>
    <t xml:space="preserve">// IOMUXC_SW_PAD_CTL_GRP_DDRMODE_CTL </t>
  </si>
  <si>
    <t xml:space="preserve">// IOMUXC_SW_PAD_CTL_PAD_DRAM_SDQS0 </t>
  </si>
  <si>
    <t xml:space="preserve">// IOMUXC_SW_PAD_CTL_PAD_DRAM_SDQS1 </t>
  </si>
  <si>
    <t xml:space="preserve">// IOMUXC_SW_PAD_CTL_PAD_DRAM_SDQS2 </t>
  </si>
  <si>
    <t xml:space="preserve">// IOMUXC_SW_PAD_CTL_PAD_DRAM_SDQS3 </t>
  </si>
  <si>
    <t xml:space="preserve">// IOMUXC_SW_PAD_CTL_PAD_DRAM_SDQS4 </t>
  </si>
  <si>
    <t xml:space="preserve">// IOMUXC_SW_PAD_CTL_PAD_DRAM_SDQS5 </t>
  </si>
  <si>
    <t xml:space="preserve">// IOMUXC_SW_PAD_CTL_PAD_DRAM_SDQS6 </t>
  </si>
  <si>
    <t xml:space="preserve">// IOMUXC_SW_PAD_CTL_PAD_DRAM_SDQS7 </t>
  </si>
  <si>
    <t>//Data:</t>
  </si>
  <si>
    <t xml:space="preserve">// IOMUXC_SW_PAD_CTL_GRP_DDR_TYPE </t>
  </si>
  <si>
    <t xml:space="preserve">// IOMUXC_SW_PAD_CTL_GRP_B0DS </t>
  </si>
  <si>
    <t xml:space="preserve">// IOMUXC_SW_PAD_CTL_GRP_B1DS </t>
  </si>
  <si>
    <t xml:space="preserve">// IOMUXC_SW_PAD_CTL_GRP_B2DS </t>
  </si>
  <si>
    <t xml:space="preserve">// IOMUXC_SW_PAD_CTL_GRP_B3DS </t>
  </si>
  <si>
    <t xml:space="preserve">// IOMUXC_SW_PAD_CTL_GRP_B4DS </t>
  </si>
  <si>
    <t xml:space="preserve">// IOMUXC_SW_PAD_CTL_GRP_B5DS </t>
  </si>
  <si>
    <t xml:space="preserve">// IOMUXC_SW_PAD_CTL_GRP_B6DS </t>
  </si>
  <si>
    <t>0x020e0748 =</t>
  </si>
  <si>
    <t xml:space="preserve">// IOMUXC_SW_PAD_CTL_GRP_B7DS </t>
  </si>
  <si>
    <t>// IOMUXC_SW_PAD_CTL_PAD_DRAM_DQM0</t>
  </si>
  <si>
    <t>// IOMUXC_SW_PAD_CTL_PAD_DRAM_DQM1</t>
  </si>
  <si>
    <t>// IOMUXC_SW_PAD_CTL_PAD_DRAM_DQM2</t>
  </si>
  <si>
    <t>// IOMUXC_SW_PAD_CTL_PAD_DRAM_DQM3</t>
  </si>
  <si>
    <t>// IOMUXC_SW_PAD_CTL_PAD_DRAM_DQM4</t>
  </si>
  <si>
    <t>// IOMUXC_SW_PAD_CTL_PAD_DRAM_DQM5</t>
  </si>
  <si>
    <t>// IOMUXC_SW_PAD_CTL_PAD_DRAM_DQM6</t>
  </si>
  <si>
    <t>// IOMUXC_SW_PAD_CTL_PAD_DRAM_DQM7</t>
  </si>
  <si>
    <t>// DDR Controller Registers</t>
  </si>
  <si>
    <t>// Manufacturer:</t>
  </si>
  <si>
    <t>// Device Part Number:</t>
  </si>
  <si>
    <t xml:space="preserve">// Clock Freq.: </t>
  </si>
  <si>
    <t xml:space="preserve">// Density per CS in Gb: </t>
  </si>
  <si>
    <t>// Chip Selects used:</t>
  </si>
  <si>
    <t>// Number of Banks:</t>
  </si>
  <si>
    <t xml:space="preserve">// Row address:    </t>
  </si>
  <si>
    <t xml:space="preserve">// Column address: </t>
  </si>
  <si>
    <t>// Data bus width</t>
  </si>
  <si>
    <t>0x021b001c =</t>
  </si>
  <si>
    <t>// Calibration setup.</t>
  </si>
  <si>
    <t>0x021b0800 =</t>
  </si>
  <si>
    <t xml:space="preserve">0x021b08b8 = </t>
  </si>
  <si>
    <t xml:space="preserve">0x021b48b8 = </t>
  </si>
  <si>
    <t>0x021b081c =</t>
  </si>
  <si>
    <t>// DDR_PHY_P0_MPREDQBY0DL3</t>
  </si>
  <si>
    <t>0x021b0820 =</t>
  </si>
  <si>
    <t>// DDR_PHY_P0_MPREDQBY1DL3</t>
  </si>
  <si>
    <t>0x021b0824 =</t>
  </si>
  <si>
    <t>// DDR_PHY_P0_MPREDQBY2DL3</t>
  </si>
  <si>
    <t>0x021b0828 =</t>
  </si>
  <si>
    <t>// DDR_PHY_P0_MPREDQBY3DL3</t>
  </si>
  <si>
    <t>0x021b481c =</t>
  </si>
  <si>
    <t>// DDR_PHY_P1_MPREDQBY0DL3</t>
  </si>
  <si>
    <t>0x021b4820 =</t>
  </si>
  <si>
    <t>// DDR_PHY_P1_MPREDQBY1DL3</t>
  </si>
  <si>
    <t>0x021b4824 =</t>
  </si>
  <si>
    <t>// DDR_PHY_P1_MPREDQBY2DL3</t>
  </si>
  <si>
    <t>0x021b4828 =</t>
  </si>
  <si>
    <t>// DDR_PHY_P1_MPREDQBY3DL3</t>
  </si>
  <si>
    <t>0x021b0848 =</t>
  </si>
  <si>
    <t>// MPRDDLCTL PHY0</t>
  </si>
  <si>
    <t>0x021b4848 =</t>
  </si>
  <si>
    <t>// MPRDDLCTL PHY1</t>
  </si>
  <si>
    <t>0x021b0850 =</t>
  </si>
  <si>
    <t>// MPWRDLCTL PHY0</t>
  </si>
  <si>
    <t>0x021b4850 =</t>
  </si>
  <si>
    <t>// MPWRDLCTL PHY1</t>
  </si>
  <si>
    <t>0x021b083c =</t>
  </si>
  <si>
    <t>0x021b0840 =</t>
  </si>
  <si>
    <t>0x021b483c =</t>
  </si>
  <si>
    <t>0x021b4840 =</t>
  </si>
  <si>
    <t>//For i.mx6qd parts of versions A &amp; B (v1.0, v1.1), uncomment the following lines. For version C (v1.2), keep commented</t>
  </si>
  <si>
    <t>//setmem /32</t>
  </si>
  <si>
    <t>0x021b08c0 =</t>
  </si>
  <si>
    <t>// fine tune SDCLK duty cyc to low - seen to improve measured duty cycle of i.mx6</t>
  </si>
  <si>
    <t>0x021b48c0 =</t>
  </si>
  <si>
    <t>// Calibration setup end</t>
  </si>
  <si>
    <t>0x021b000c =</t>
  </si>
  <si>
    <t>// MMDC0_MDCFG0</t>
  </si>
  <si>
    <t>0x021b0004 =</t>
  </si>
  <si>
    <t>// MMDC0_MDPDC</t>
  </si>
  <si>
    <t>0x021b0010 =</t>
  </si>
  <si>
    <t>// MMDC0_MDCFG1</t>
  </si>
  <si>
    <t>0x021b0014 =</t>
  </si>
  <si>
    <t>// MMDC0_MDCFG2</t>
  </si>
  <si>
    <t xml:space="preserve">//MDMISC: RALAT kept to the high level of 5. </t>
  </si>
  <si>
    <t xml:space="preserve">//MDMISC: consider reducing RALAT if your 528MHz board design allow that. Lower RALAT benefits: </t>
  </si>
  <si>
    <t>//a. better operation at low frequency, for LPDDR2 freq &lt; 100MHz, change RALAT to 3</t>
  </si>
  <si>
    <t xml:space="preserve">//b. Small performence improvment </t>
  </si>
  <si>
    <t>0x021b0018 =</t>
  </si>
  <si>
    <t>// MMDC0_MDMISC</t>
  </si>
  <si>
    <t>0x021b002c =</t>
  </si>
  <si>
    <t>// MMDC0_MDRWD</t>
  </si>
  <si>
    <t>0x021b0030 =</t>
  </si>
  <si>
    <t>// MMDC0_MDOR</t>
  </si>
  <si>
    <t>0x021b0008 =</t>
  </si>
  <si>
    <t>// MMDC0_MDOTC</t>
  </si>
  <si>
    <t>0x021b0040 =</t>
  </si>
  <si>
    <t xml:space="preserve">// Chan0 CS0_END </t>
  </si>
  <si>
    <t>0x021b0000 =</t>
  </si>
  <si>
    <t>// MMDC0_MDCTL</t>
  </si>
  <si>
    <t>0x021b0020 =</t>
  </si>
  <si>
    <t>// MMDC0_MDREF</t>
  </si>
  <si>
    <t>0x021b0818 =</t>
  </si>
  <si>
    <t>// DDR_PHY_P0_MPODTCTRL</t>
  </si>
  <si>
    <t>0x021b4818 =</t>
  </si>
  <si>
    <t>// DDR_PHY_P1_MPODTCTRL</t>
  </si>
  <si>
    <t>// DDR_PHY_P0_MPMUR0, frc_msr</t>
  </si>
  <si>
    <t>// MMDC0_MDPDC now SDCTL power down enabled</t>
  </si>
  <si>
    <t>0x021b0404 =</t>
  </si>
  <si>
    <t>// MMDC0_MDSCR, clear this register (especially the configuration bit as initialization is complete)</t>
  </si>
  <si>
    <t>//ADDRESS:</t>
  </si>
  <si>
    <t>// DDR_PHY_P0_MPZQHWCTRL, enable both one-time &amp; periodic HW ZQ calibration.</t>
  </si>
  <si>
    <t>// For target board, may need to run write leveling calibration to fine tune these settings.</t>
  </si>
  <si>
    <t>0x021b080c  =</t>
  </si>
  <si>
    <t>0x021b0810 =</t>
  </si>
  <si>
    <t>0x021b480c  =</t>
  </si>
  <si>
    <t>0x021b4810 =</t>
  </si>
  <si>
    <t>////Read DQS Gating calibration</t>
  </si>
  <si>
    <t>// MPDGCTRL0 PHY0</t>
  </si>
  <si>
    <t>// MPDGCTRL1 PHY0</t>
  </si>
  <si>
    <t>// MPDGCTRL0 PHY1</t>
  </si>
  <si>
    <t>// MPDGCTRL1 PHY1</t>
  </si>
  <si>
    <t>//Read calibration</t>
  </si>
  <si>
    <t xml:space="preserve">//Write calibration                     </t>
  </si>
  <si>
    <t>//read data bit delay: (3 is the reccommended default value, although out of reset value is 0)</t>
  </si>
  <si>
    <t xml:space="preserve">// Complete calibration by forced measurement:                  </t>
  </si>
  <si>
    <t xml:space="preserve">//MMDC init: </t>
  </si>
  <si>
    <t>MMDC0_MDSCR, set the Configuration request bit during MMDC set up</t>
  </si>
  <si>
    <t>// MMDC0_MDSCR, MR2 write, CS0</t>
  </si>
  <si>
    <t>// MMDC0_MDSCR, MR3 write, CS0</t>
  </si>
  <si>
    <t>// MMDC0_MDSCR, MR1 write, CS0</t>
  </si>
  <si>
    <t>// MMDC0_MDSCR, MR0write, CS0</t>
  </si>
  <si>
    <t>// MMDC0_MDSCR, ZQ calibration command sent to device on CS0</t>
  </si>
  <si>
    <t>// MMDC0_MDSCR, MR2 write, CS1</t>
  </si>
  <si>
    <t>// MMDC0_MDSCR, MR3 write, CS1</t>
  </si>
  <si>
    <t>// MMDC0_MDSCR, MR1 write, CS1</t>
  </si>
  <si>
    <t>// MMDC0_MDSCR, MR0write, CS1</t>
  </si>
  <si>
    <t>// MMDC0_MDSCR, ZQ calibration command sent to device on CS1</t>
  </si>
  <si>
    <t>// MMDC0_MAPSR ADOPT power down enabled, MMDC will enter automatically to self-refresh while the number of idle cycle reached.</t>
  </si>
  <si>
    <t>DRAM DSE Setting - CK (ohm)</t>
  </si>
  <si>
    <t>DRAM DSE Setting - DQS (ohm)</t>
  </si>
  <si>
    <t>DRAM DSE Setting - ADDR/CMD/CTL (ohm)</t>
  </si>
  <si>
    <t>DRAM DSE Setting - DQ/DQM (ohm)</t>
  </si>
  <si>
    <t>Total DRAM Density (Gb)</t>
  </si>
  <si>
    <t>If only one CS is used, that must be CS0.</t>
  </si>
  <si>
    <t xml:space="preserve">//Mode register writes                 </t>
  </si>
  <si>
    <r>
      <t>Fill all "</t>
    </r>
    <r>
      <rPr>
        <sz val="14"/>
        <color rgb="FFFFC000"/>
        <rFont val="Arial"/>
        <family val="2"/>
      </rPr>
      <t>Orange</t>
    </r>
    <r>
      <rPr>
        <sz val="14"/>
        <color theme="1"/>
        <rFont val="Arial"/>
        <family val="2"/>
      </rPr>
      <t>" cells in "Register Configuration" Page,then get basic DDR script in "RealView .inc" Page.</t>
    </r>
  </si>
  <si>
    <r>
      <t>Fill all "</t>
    </r>
    <r>
      <rPr>
        <sz val="14"/>
        <color rgb="FFFFC000"/>
        <rFont val="Arial"/>
        <family val="2"/>
      </rPr>
      <t>Orange</t>
    </r>
    <r>
      <rPr>
        <sz val="14"/>
        <color theme="1"/>
        <rFont val="Arial"/>
        <family val="2"/>
      </rPr>
      <t>"+"</t>
    </r>
    <r>
      <rPr>
        <sz val="14"/>
        <color rgb="FF00B0F0"/>
        <rFont val="Arial"/>
        <family val="2"/>
      </rPr>
      <t>Blue</t>
    </r>
    <r>
      <rPr>
        <sz val="14"/>
        <color theme="1"/>
        <rFont val="Arial"/>
        <family val="2"/>
      </rPr>
      <t>" cells in "Register Configuration" Page,then get advanced DDR script in "RealView .inc" Page.</t>
    </r>
  </si>
  <si>
    <t>Using "DDR Stress Test Tool" and generate Write Leveling, DQS Gating,Read and Write Delay Calibration result.</t>
  </si>
  <si>
    <t>Please refer to "Calibration" Page for detailed process.</t>
  </si>
  <si>
    <t>ZQ Calibration</t>
  </si>
  <si>
    <t>•In order to use the ZQ Calibration function, a 240 ohm +/- 1% tolerance external resistor must be connected between the ZQ pad and ground.</t>
  </si>
  <si>
    <t>•ZQ is used to calibrate output drive registers and ODT registers.  ZQ calibration is performed by HW automatically. Both I.Mx pad and DDR pad need ZQ.</t>
  </si>
  <si>
    <t>i.Mx Part</t>
  </si>
  <si>
    <t>Self-Refresh Temperature (SRT)</t>
  </si>
  <si>
    <t>SI Configuration</t>
  </si>
  <si>
    <t>System ODT Setting (ohm)</t>
  </si>
  <si>
    <t>DSIZ</t>
  </si>
  <si>
    <t>Please find latest i.Mx6 DDR Stress Test Tool through below link:</t>
  </si>
  <si>
    <t>https://community.freescale.com/docs/DOC-96412</t>
  </si>
  <si>
    <r>
      <t xml:space="preserve">Please refer to </t>
    </r>
    <r>
      <rPr>
        <sz val="14"/>
        <color rgb="FFFF0000"/>
        <rFont val="Arial"/>
        <family val="2"/>
      </rPr>
      <t>"Red"</t>
    </r>
    <r>
      <rPr>
        <sz val="14"/>
        <color theme="1"/>
        <rFont val="Arial"/>
        <family val="2"/>
      </rPr>
      <t xml:space="preserve"> cells in RealView.inc Tab on where these Calibration results must be updated into the final DDR initialization script.</t>
    </r>
  </si>
  <si>
    <t xml:space="preserve">0x021b08b8 </t>
  </si>
  <si>
    <t xml:space="preserve">0x021b48b8 </t>
  </si>
  <si>
    <t xml:space="preserve">0x020c4068 </t>
  </si>
  <si>
    <t xml:space="preserve">0x020c406c </t>
  </si>
  <si>
    <t xml:space="preserve">0x020c4070 </t>
  </si>
  <si>
    <t xml:space="preserve">0x020c4074 </t>
  </si>
  <si>
    <t xml:space="preserve">0x020c4078 </t>
  </si>
  <si>
    <t xml:space="preserve">0x020c407c </t>
  </si>
  <si>
    <t xml:space="preserve">0x020c4080 </t>
  </si>
  <si>
    <t xml:space="preserve">0x020c4084 </t>
  </si>
  <si>
    <t xml:space="preserve">0x020e074c </t>
  </si>
  <si>
    <t xml:space="preserve">0x020e0750 </t>
  </si>
  <si>
    <t xml:space="preserve">0x020e0748 </t>
  </si>
  <si>
    <t xml:space="preserve">0x021b001c </t>
  </si>
  <si>
    <t xml:space="preserve">0x021b0800 </t>
  </si>
  <si>
    <t xml:space="preserve">0x021b080c  </t>
  </si>
  <si>
    <t xml:space="preserve">0x021b0810 </t>
  </si>
  <si>
    <t xml:space="preserve">0x021b480c  </t>
  </si>
  <si>
    <t xml:space="preserve">0x021b4810 </t>
  </si>
  <si>
    <t xml:space="preserve">0x021b083c </t>
  </si>
  <si>
    <t xml:space="preserve">0x021b0840 </t>
  </si>
  <si>
    <t xml:space="preserve">0x021b483c </t>
  </si>
  <si>
    <t xml:space="preserve">0x021b4840 </t>
  </si>
  <si>
    <t xml:space="preserve">0x021b0848 </t>
  </si>
  <si>
    <t xml:space="preserve">0x021b4848 </t>
  </si>
  <si>
    <t xml:space="preserve">0x021b0850 </t>
  </si>
  <si>
    <t xml:space="preserve">0x021b4850 </t>
  </si>
  <si>
    <t xml:space="preserve">0x021b081c </t>
  </si>
  <si>
    <t xml:space="preserve">0x021b0820 </t>
  </si>
  <si>
    <t xml:space="preserve">0x021b0824 </t>
  </si>
  <si>
    <t xml:space="preserve">0x021b0828 </t>
  </si>
  <si>
    <t xml:space="preserve">0x021b481c </t>
  </si>
  <si>
    <t xml:space="preserve">0x021b4820 </t>
  </si>
  <si>
    <t xml:space="preserve">0x021b4824 </t>
  </si>
  <si>
    <t xml:space="preserve">0x021b4828 </t>
  </si>
  <si>
    <t xml:space="preserve">0x021b08c0 </t>
  </si>
  <si>
    <t xml:space="preserve">0x021b48c0 </t>
  </si>
  <si>
    <t xml:space="preserve">0x021b0004 </t>
  </si>
  <si>
    <t xml:space="preserve">0x021b0008 </t>
  </si>
  <si>
    <t xml:space="preserve">0x021b000c </t>
  </si>
  <si>
    <t xml:space="preserve">0x021b0010 </t>
  </si>
  <si>
    <t xml:space="preserve">0x021b0014 </t>
  </si>
  <si>
    <t xml:space="preserve">0x021b0018 </t>
  </si>
  <si>
    <t xml:space="preserve">0x021b002c </t>
  </si>
  <si>
    <t xml:space="preserve">0x021b0030 </t>
  </si>
  <si>
    <t xml:space="preserve">0x021b0040 </t>
  </si>
  <si>
    <t xml:space="preserve">0x021b0000 </t>
  </si>
  <si>
    <t xml:space="preserve">0x021b0020 </t>
  </si>
  <si>
    <t xml:space="preserve">0x021b0818 </t>
  </si>
  <si>
    <t xml:space="preserve">0x021b4818 </t>
  </si>
  <si>
    <t xml:space="preserve">0x021b0404 </t>
  </si>
  <si>
    <t xml:space="preserve">0x020bc000 </t>
  </si>
  <si>
    <t xml:space="preserve">mem set </t>
  </si>
  <si>
    <t>#=============================================================================</t>
  </si>
  <si>
    <t># Disable</t>
  </si>
  <si>
    <t># Enable all clocks (they are disabled by ROM code)</t>
  </si>
  <si>
    <t># IOMUX</t>
  </si>
  <si>
    <t>#DDR IO TYPE:</t>
  </si>
  <si>
    <t>#CLOCK:</t>
  </si>
  <si>
    <t>#ADDRESS:</t>
  </si>
  <si>
    <t>#Control:</t>
  </si>
  <si>
    <t>#Data Strobes:</t>
  </si>
  <si>
    <t>#Data:</t>
  </si>
  <si>
    <t># DDR Controller Registers</t>
  </si>
  <si>
    <t># Manufacturer:</t>
  </si>
  <si>
    <t># Device Part Number:</t>
  </si>
  <si>
    <t xml:space="preserve"># Clock Freq.: </t>
  </si>
  <si>
    <t xml:space="preserve"># Density per CS in Gb: </t>
  </si>
  <si>
    <t># Chip Selects used:</t>
  </si>
  <si>
    <t># Number of Banks:</t>
  </si>
  <si>
    <t xml:space="preserve"># Row address:    </t>
  </si>
  <si>
    <t xml:space="preserve"># Column address: </t>
  </si>
  <si>
    <t># Data bus width</t>
  </si>
  <si>
    <t># Calibration setup.</t>
  </si>
  <si>
    <t># For target board, may need to run write leveling calibration to fine tune these settings.</t>
  </si>
  <si>
    <t>#Read calibration</t>
  </si>
  <si>
    <t xml:space="preserve">#Write calibration                     </t>
  </si>
  <si>
    <t>#read data bit delay: (3 is the reccommended default value, although out of reset value is 0)</t>
  </si>
  <si>
    <t>#For i.mx6qd parts of versions A &amp; B (v1.0, v1.1), uncomment the following lines. For version C (v1.2), keep commented</t>
  </si>
  <si>
    <t xml:space="preserve">#mem set </t>
  </si>
  <si>
    <t xml:space="preserve"># Complete calibration by forced measurement:                  </t>
  </si>
  <si>
    <t># Calibration setup end</t>
  </si>
  <si>
    <t xml:space="preserve">#MMDC init: </t>
  </si>
  <si>
    <t xml:space="preserve">#MDMISC: RALAT kept to the high level of 5. </t>
  </si>
  <si>
    <t xml:space="preserve">#MDMISC: consider reducing RALAT if your 528MHz board design allow that. Lower RALAT benefits: </t>
  </si>
  <si>
    <t>#a. better operation at low frequency, for LPDDR2 freq &lt; 100MHz, change RALAT to 3</t>
  </si>
  <si>
    <t xml:space="preserve">#b. Small performence improvment </t>
  </si>
  <si>
    <t xml:space="preserve">#Mode register writes                 </t>
  </si>
  <si>
    <t>#Read DQS Gating calibration</t>
  </si>
  <si>
    <t xml:space="preserve"># IOMUXC_SW_PAD_CTL_GRP_DDR_TYPE </t>
  </si>
  <si>
    <t xml:space="preserve"># IOMUXC_SW_PAD_CTL_GRP_DDRPKE </t>
  </si>
  <si>
    <t># IOMUXC_SW_PAD_CTL_PAD_DRAM_SDCLK_0</t>
  </si>
  <si>
    <t># IOMUXC_SW_PAD_CTL_PAD_DRAM_SDCLK_1</t>
  </si>
  <si>
    <t># IOMUXC_SW_PAD_CTL_PAD_DRAM_CAS</t>
  </si>
  <si>
    <t># IOMUXC_SW_PAD_CTL_PAD_DRAM_RAS</t>
  </si>
  <si>
    <t xml:space="preserve"># IOMUXC_SW_PAD_CTL_GRP_ADDDS </t>
  </si>
  <si>
    <t># IOMUXC_SW_PAD_CTL_PAD_DRAM_RESET</t>
  </si>
  <si>
    <t># IOMUXC_SW_PAD_CTL_PAD_DRAM_SDBA2 - DSE can be configured using Group Control Register: IOMUXC_SW_PAD_CTL_GRP_CTLDS</t>
  </si>
  <si>
    <t># IOMUXC_SW_PAD_CTL_PAD_DRAM_SDODT0</t>
  </si>
  <si>
    <t># IOMUXC_SW_PAD_CTL_PAD_DRAM_SDODT1</t>
  </si>
  <si>
    <t xml:space="preserve"># IOMUXC_SW_PAD_CTL_GRP_CTLDS </t>
  </si>
  <si>
    <t xml:space="preserve"># IOMUXC_SW_PAD_CTL_GRP_DDRMODE_CTL </t>
  </si>
  <si>
    <t xml:space="preserve"># IOMUXC_SW_PAD_CTL_PAD_DRAM_SDQS0 </t>
  </si>
  <si>
    <t xml:space="preserve"># IOMUXC_SW_PAD_CTL_PAD_DRAM_SDQS1 </t>
  </si>
  <si>
    <t xml:space="preserve"># IOMUXC_SW_PAD_CTL_PAD_DRAM_SDQS2 </t>
  </si>
  <si>
    <t xml:space="preserve"># IOMUXC_SW_PAD_CTL_PAD_DRAM_SDQS3 </t>
  </si>
  <si>
    <t xml:space="preserve"># IOMUXC_SW_PAD_CTL_PAD_DRAM_SDQS4 </t>
  </si>
  <si>
    <t xml:space="preserve"># IOMUXC_SW_PAD_CTL_PAD_DRAM_SDQS5 </t>
  </si>
  <si>
    <t xml:space="preserve"># IOMUXC_SW_PAD_CTL_PAD_DRAM_SDQS6 </t>
  </si>
  <si>
    <t xml:space="preserve"># IOMUXC_SW_PAD_CTL_PAD_DRAM_SDQS7 </t>
  </si>
  <si>
    <t># IOMUXC_SW_PAD_CTL_GRP_DDRMODE</t>
  </si>
  <si>
    <t xml:space="preserve"># IOMUXC_SW_PAD_CTL_GRP_B0DS </t>
  </si>
  <si>
    <t xml:space="preserve"># IOMUXC_SW_PAD_CTL_GRP_B1DS </t>
  </si>
  <si>
    <t xml:space="preserve"># IOMUXC_SW_PAD_CTL_GRP_B2DS </t>
  </si>
  <si>
    <t xml:space="preserve"># IOMUXC_SW_PAD_CTL_GRP_B3DS </t>
  </si>
  <si>
    <t xml:space="preserve"># IOMUXC_SW_PAD_CTL_GRP_B4DS </t>
  </si>
  <si>
    <t xml:space="preserve"># IOMUXC_SW_PAD_CTL_GRP_B5DS </t>
  </si>
  <si>
    <t xml:space="preserve"># IOMUXC_SW_PAD_CTL_GRP_B6DS </t>
  </si>
  <si>
    <t xml:space="preserve"># IOMUXC_SW_PAD_CTL_GRP_B7DS </t>
  </si>
  <si>
    <t># IOMUXC_SW_PAD_CTL_PAD_DRAM_DQM0</t>
  </si>
  <si>
    <t># IOMUXC_SW_PAD_CTL_PAD_DRAM_DQM1</t>
  </si>
  <si>
    <t># IOMUXC_SW_PAD_CTL_PAD_DRAM_DQM2</t>
  </si>
  <si>
    <t># IOMUXC_SW_PAD_CTL_PAD_DRAM_DQM3</t>
  </si>
  <si>
    <t># IOMUXC_SW_PAD_CTL_PAD_DRAM_DQM4</t>
  </si>
  <si>
    <t># IOMUXC_SW_PAD_CTL_PAD_DRAM_DQM5</t>
  </si>
  <si>
    <t># IOMUXC_SW_PAD_CTL_PAD_DRAM_DQM6</t>
  </si>
  <si>
    <t># IOMUXC_SW_PAD_CTL_PAD_DRAM_DQM7</t>
  </si>
  <si>
    <t># DDR_PHY_P0_MPZQHWCTRL, enable both one-time &amp; periodic HW ZQ calibration.</t>
  </si>
  <si>
    <t># MPDGCTRL0 PHY0</t>
  </si>
  <si>
    <t># MPDGCTRL1 PHY0</t>
  </si>
  <si>
    <t># MPDGCTRL0 PHY1</t>
  </si>
  <si>
    <t># MPDGCTRL1 PHY1</t>
  </si>
  <si>
    <t># MPRDDLCTL PHY0</t>
  </si>
  <si>
    <t># MPRDDLCTL PHY1</t>
  </si>
  <si>
    <t># MPWRDLCTL PHY0</t>
  </si>
  <si>
    <t># MPWRDLCTL PHY1</t>
  </si>
  <si>
    <t># DDR_PHY_P0_MPREDQBY0DL3</t>
  </si>
  <si>
    <t># DDR_PHY_P0_MPREDQBY1DL3</t>
  </si>
  <si>
    <t># DDR_PHY_P0_MPREDQBY2DL3</t>
  </si>
  <si>
    <t># DDR_PHY_P0_MPREDQBY3DL3</t>
  </si>
  <si>
    <t># DDR_PHY_P1_MPREDQBY0DL3</t>
  </si>
  <si>
    <t># DDR_PHY_P1_MPREDQBY1DL3</t>
  </si>
  <si>
    <t># DDR_PHY_P1_MPREDQBY2DL3</t>
  </si>
  <si>
    <t># DDR_PHY_P1_MPREDQBY3DL3</t>
  </si>
  <si>
    <t># fine tune SDCLK duty cyc to low - seen to improve measured duty cycle of i.mx6</t>
  </si>
  <si>
    <t># DDR_PHY_P0_MPMUR0, frc_msr</t>
  </si>
  <si>
    <t># MMDC0_MDPDC</t>
  </si>
  <si>
    <t># MMDC0_MDOTC</t>
  </si>
  <si>
    <t># MMDC0_MDCFG0</t>
  </si>
  <si>
    <t># MMDC0_MDCFG1</t>
  </si>
  <si>
    <t># MMDC0_MDCFG2</t>
  </si>
  <si>
    <t># MMDC0_MDMISC</t>
  </si>
  <si>
    <t># MMDC0_MDRWD</t>
  </si>
  <si>
    <t># MMDC0_MDOR</t>
  </si>
  <si>
    <t xml:space="preserve"># Chan0 CS0_END </t>
  </si>
  <si>
    <t># MMDC0_MDCTL</t>
  </si>
  <si>
    <t># MMDC0_MDSCR, MR2 write, CS0</t>
  </si>
  <si>
    <t># MMDC0_MDSCR, MR3 write, CS0</t>
  </si>
  <si>
    <t># MMDC0_MDSCR, MR1 write, CS0</t>
  </si>
  <si>
    <t># MMDC0_MDSCR, MR0write, CS0</t>
  </si>
  <si>
    <t># MMDC0_MDSCR, ZQ calibration command sent to device on CS0</t>
  </si>
  <si>
    <t># MMDC0_MDSCR, MR2 write, CS1</t>
  </si>
  <si>
    <t># MMDC0_MDSCR, MR3 write, CS1</t>
  </si>
  <si>
    <t># MMDC0_MDSCR, MR1 write, CS1</t>
  </si>
  <si>
    <t># MMDC0_MDSCR, MR0write, CS1</t>
  </si>
  <si>
    <t># MMDC0_MDSCR, ZQ calibration command sent to device on CS1</t>
  </si>
  <si>
    <t># MMDC0_MDREF</t>
  </si>
  <si>
    <t># DDR_PHY_P0_MPODTCTRL</t>
  </si>
  <si>
    <t># DDR_PHY_P1_MPODTCTRL</t>
  </si>
  <si>
    <t># MMDC0_MDPDC now SDCTL power down enabled</t>
  </si>
  <si>
    <t># MMDC0_MAPSR ADOPT power down enabled, MMDC will enter automatically to self-refresh while the number of idle cycle reached.</t>
  </si>
  <si>
    <t># MMDC0_MDSCR, clear this register (especially the configuration bit as initialization is complete)</t>
  </si>
  <si>
    <t>// MMDC0_MDSCR, set the Configuration request bit during MMDC set up</t>
  </si>
  <si>
    <t xml:space="preserve">0x00000000 </t>
  </si>
  <si>
    <t xml:space="preserve">0xFFFFFFFF </t>
  </si>
  <si>
    <t>noverify</t>
  </si>
  <si>
    <t># MMDC0_MDSCR, set the Configuration request bit during MMDC set up</t>
  </si>
  <si>
    <t>mem</t>
  </si>
  <si>
    <r>
      <t xml:space="preserve">Testing has shown that lowering the drive strengths can degrade the SDCLK Duty Cycle performance.
</t>
    </r>
    <r>
      <rPr>
        <b/>
        <sz val="11"/>
        <color theme="1"/>
        <rFont val="Calibri"/>
        <family val="2"/>
      </rPr>
      <t>Do not recommend</t>
    </r>
    <r>
      <rPr>
        <sz val="11"/>
        <color theme="1"/>
        <rFont val="Calibri"/>
        <family val="2"/>
      </rPr>
      <t xml:space="preserve"> using 60ohm or lower for any customer design.
Please note that drive strength configuration and optimizaion is dependent on the customer board layout and design.</t>
    </r>
    <phoneticPr fontId="20" type="noConversion"/>
  </si>
  <si>
    <t>0.11 03-July-2018</t>
    <phoneticPr fontId="20" type="noConversion"/>
  </si>
  <si>
    <r>
      <t>Please note that all "</t>
    </r>
    <r>
      <rPr>
        <b/>
        <sz val="20"/>
        <color rgb="FFFFC000"/>
        <rFont val="Arial"/>
        <family val="2"/>
      </rPr>
      <t>Orange</t>
    </r>
    <r>
      <rPr>
        <b/>
        <sz val="20"/>
        <color theme="1"/>
        <rFont val="Arial"/>
        <family val="2"/>
      </rPr>
      <t>" and "</t>
    </r>
    <r>
      <rPr>
        <b/>
        <sz val="20"/>
        <color rgb="FF00B0F0"/>
        <rFont val="Arial"/>
        <family val="2"/>
      </rPr>
      <t>Blue</t>
    </r>
    <r>
      <rPr>
        <b/>
        <sz val="20"/>
        <color theme="1"/>
        <rFont val="Arial"/>
        <family val="2"/>
      </rPr>
      <t>" Cells must be correct, they will impact the validity of register value and register address in Page "RealView .inc".</t>
    </r>
    <phoneticPr fontId="20" type="noConversion"/>
  </si>
  <si>
    <t>Extended</t>
  </si>
  <si>
    <t>Micron</t>
  </si>
  <si>
    <t>MT41K512M16HA-107</t>
  </si>
  <si>
    <t>i.Mx6Q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</si>
</sst>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12"/>
      <color theme="1" tint="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rgb="FFFFC000"/>
      <name val="Arial"/>
      <family val="2"/>
    </font>
    <font>
      <sz val="14"/>
      <color rgb="FF00B0F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FF0000"/>
      <name val="Arial"/>
      <family val="2"/>
    </font>
    <font>
      <b/>
      <sz val="14"/>
      <color rgb="FF0070C0"/>
      <name val="Calibri"/>
      <family val="2"/>
      <scheme val="minor"/>
    </font>
    <font>
      <u/>
      <sz val="11"/>
      <color theme="10"/>
      <name val="Calibri"/>
      <family val="2"/>
    </font>
    <font>
      <sz val="9"/>
      <name val="Calibri"/>
      <family val="3"/>
      <charset val="134"/>
      <scheme val="minor"/>
    </font>
    <font>
      <b/>
      <sz val="20"/>
      <color theme="1"/>
      <name val="Arial"/>
      <family val="2"/>
    </font>
    <font>
      <b/>
      <sz val="20"/>
      <color rgb="FFFFC000"/>
      <name val="Arial"/>
      <family val="2"/>
    </font>
    <font>
      <b/>
      <sz val="20"/>
      <color rgb="FF00B0F0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7ED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6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rgb="FFC7EDCC"/>
      </left>
      <right style="thin">
        <color rgb="FFC7EDCC"/>
      </right>
      <top style="thin">
        <color rgb="FFC7EDCC"/>
      </top>
      <bottom style="thin">
        <color rgb="FFC7EDCC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19" fillId="0" borderId="0" applyNumberFormat="0" applyFill="0" applyBorder="0" applyAlignment="0" applyProtection="0">
      <alignment vertical="top"/>
      <protection locked="0"/>
    </xf>
  </cellStyleXfs>
  <cellXfs count="182">
    <xf numFmtId="0" fontId="0" fillId="0" borderId="0" xfId="0"/>
    <xf numFmtId="0" fontId="0" fillId="10" borderId="45" xfId="0" applyFill="1" applyBorder="1" applyProtection="1"/>
    <xf numFmtId="0" fontId="0" fillId="10" borderId="46" xfId="0" applyFill="1" applyBorder="1" applyProtection="1"/>
    <xf numFmtId="0" fontId="0" fillId="11" borderId="47" xfId="0" applyFill="1" applyBorder="1" applyProtection="1"/>
    <xf numFmtId="0" fontId="0" fillId="10" borderId="48" xfId="0" applyFill="1" applyBorder="1" applyProtection="1"/>
    <xf numFmtId="0" fontId="0" fillId="10" borderId="49" xfId="0" applyFill="1" applyBorder="1" applyProtection="1"/>
    <xf numFmtId="0" fontId="0" fillId="0" borderId="29" xfId="0" applyBorder="1" applyAlignment="1" applyProtection="1">
      <alignment horizontal="center" vertical="center"/>
      <protection hidden="1"/>
    </xf>
    <xf numFmtId="0" fontId="0" fillId="0" borderId="31" xfId="0" applyBorder="1" applyAlignment="1" applyProtection="1">
      <alignment horizontal="center" vertical="center"/>
      <protection hidden="1"/>
    </xf>
    <xf numFmtId="0" fontId="0" fillId="0" borderId="30" xfId="0" applyBorder="1" applyAlignment="1" applyProtection="1">
      <alignment horizontal="center" vertical="center"/>
      <protection hidden="1"/>
    </xf>
    <xf numFmtId="0" fontId="0" fillId="0" borderId="32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29" xfId="0" applyFill="1" applyBorder="1" applyProtection="1">
      <protection hidden="1"/>
    </xf>
    <xf numFmtId="0" fontId="4" fillId="9" borderId="4" xfId="1" applyNumberFormat="1" applyFont="1" applyFill="1" applyBorder="1" applyAlignment="1" applyProtection="1">
      <alignment horizontal="center" vertical="center"/>
      <protection hidden="1"/>
    </xf>
    <xf numFmtId="0" fontId="9" fillId="9" borderId="4" xfId="2" applyFont="1" applyFill="1" applyBorder="1" applyAlignment="1" applyProtection="1">
      <alignment horizontal="center" vertical="center"/>
      <protection hidden="1"/>
    </xf>
    <xf numFmtId="0" fontId="0" fillId="0" borderId="31" xfId="0" applyBorder="1" applyAlignment="1" applyProtection="1">
      <alignment horizontal="left" vertical="center"/>
      <protection hidden="1"/>
    </xf>
    <xf numFmtId="0" fontId="8" fillId="0" borderId="31" xfId="0" applyFont="1" applyBorder="1" applyAlignment="1" applyProtection="1">
      <alignment horizontal="center" vertical="center"/>
      <protection hidden="1"/>
    </xf>
    <xf numFmtId="0" fontId="0" fillId="0" borderId="30" xfId="0" applyBorder="1" applyAlignment="1" applyProtection="1">
      <alignment horizontal="center" vertical="center" wrapText="1"/>
      <protection hidden="1"/>
    </xf>
    <xf numFmtId="0" fontId="8" fillId="0" borderId="6" xfId="0" applyFont="1" applyBorder="1" applyAlignment="1" applyProtection="1">
      <alignment horizontal="center" vertical="center" wrapText="1"/>
      <protection hidden="1"/>
    </xf>
    <xf numFmtId="0" fontId="5" fillId="0" borderId="12" xfId="0" applyFont="1" applyBorder="1" applyAlignment="1" applyProtection="1">
      <alignment horizontal="center" vertical="center" wrapText="1"/>
      <protection hidden="1"/>
    </xf>
    <xf numFmtId="0" fontId="7" fillId="0" borderId="13" xfId="0" applyFont="1" applyBorder="1" applyAlignment="1" applyProtection="1">
      <alignment horizontal="center" vertical="center" wrapText="1"/>
      <protection hidden="1"/>
    </xf>
    <xf numFmtId="0" fontId="7" fillId="0" borderId="14" xfId="0" applyFont="1" applyBorder="1" applyAlignment="1" applyProtection="1">
      <alignment horizontal="center" vertical="center" wrapText="1"/>
      <protection hidden="1"/>
    </xf>
    <xf numFmtId="0" fontId="0" fillId="0" borderId="32" xfId="0" applyBorder="1" applyAlignment="1" applyProtection="1">
      <alignment horizontal="center" vertical="center" wrapText="1"/>
      <protection hidden="1"/>
    </xf>
    <xf numFmtId="0" fontId="0" fillId="0" borderId="29" xfId="0" applyBorder="1" applyAlignment="1" applyProtection="1">
      <alignment horizontal="center" vertical="center" wrapText="1"/>
      <protection hidden="1"/>
    </xf>
    <xf numFmtId="0" fontId="0" fillId="0" borderId="10" xfId="0" applyBorder="1" applyAlignment="1" applyProtection="1">
      <alignment horizontal="center" vertical="center" wrapText="1"/>
      <protection hidden="1"/>
    </xf>
    <xf numFmtId="3" fontId="0" fillId="9" borderId="5" xfId="0" applyNumberFormat="1" applyFill="1" applyBorder="1" applyAlignment="1" applyProtection="1">
      <alignment horizontal="center" vertical="center" wrapText="1"/>
      <protection hidden="1"/>
    </xf>
    <xf numFmtId="0" fontId="6" fillId="5" borderId="9" xfId="0" applyFont="1" applyFill="1" applyBorder="1" applyAlignment="1" applyProtection="1">
      <alignment horizontal="center" vertical="center" wrapText="1"/>
      <protection hidden="1"/>
    </xf>
    <xf numFmtId="0" fontId="6" fillId="5" borderId="15" xfId="0" applyFont="1" applyFill="1" applyBorder="1" applyAlignment="1" applyProtection="1">
      <alignment horizontal="center" vertical="center" wrapText="1"/>
      <protection hidden="1"/>
    </xf>
    <xf numFmtId="0" fontId="0" fillId="0" borderId="33" xfId="0" applyBorder="1" applyAlignment="1" applyProtection="1">
      <alignment horizontal="center" vertical="center"/>
      <protection hidden="1"/>
    </xf>
    <xf numFmtId="0" fontId="0" fillId="0" borderId="34" xfId="0" applyBorder="1" applyAlignment="1" applyProtection="1">
      <alignment horizontal="center" vertical="center"/>
      <protection hidden="1"/>
    </xf>
    <xf numFmtId="0" fontId="6" fillId="7" borderId="9" xfId="0" applyFont="1" applyFill="1" applyBorder="1" applyAlignment="1" applyProtection="1">
      <alignment horizontal="center" vertical="center" wrapText="1"/>
      <protection hidden="1"/>
    </xf>
    <xf numFmtId="49" fontId="6" fillId="5" borderId="9" xfId="0" applyNumberFormat="1" applyFont="1" applyFill="1" applyBorder="1" applyAlignment="1" applyProtection="1">
      <alignment horizontal="center" vertical="center" wrapText="1"/>
      <protection hidden="1"/>
    </xf>
    <xf numFmtId="0" fontId="8" fillId="8" borderId="6" xfId="0" applyFont="1" applyFill="1" applyBorder="1" applyAlignment="1" applyProtection="1">
      <alignment horizontal="center" vertical="center" wrapText="1"/>
      <protection hidden="1"/>
    </xf>
    <xf numFmtId="0" fontId="0" fillId="8" borderId="10" xfId="0" applyFill="1" applyBorder="1" applyAlignment="1" applyProtection="1">
      <alignment horizontal="center" vertical="center" wrapText="1"/>
      <protection hidden="1"/>
    </xf>
    <xf numFmtId="3" fontId="0" fillId="4" borderId="17" xfId="0" applyNumberFormat="1" applyFill="1" applyBorder="1" applyAlignment="1" applyProtection="1">
      <alignment horizontal="center" vertical="center" wrapText="1"/>
      <protection hidden="1"/>
    </xf>
    <xf numFmtId="0" fontId="6" fillId="5" borderId="18" xfId="0" applyFont="1" applyFill="1" applyBorder="1" applyAlignment="1" applyProtection="1">
      <alignment horizontal="center" vertical="center" wrapText="1"/>
      <protection hidden="1"/>
    </xf>
    <xf numFmtId="0" fontId="6" fillId="5" borderId="19" xfId="0" applyFont="1" applyFill="1" applyBorder="1" applyAlignment="1" applyProtection="1">
      <alignment horizontal="center" vertical="center" wrapText="1"/>
      <protection hidden="1"/>
    </xf>
    <xf numFmtId="3" fontId="0" fillId="4" borderId="35" xfId="0" applyNumberFormat="1" applyFill="1" applyBorder="1" applyAlignment="1" applyProtection="1">
      <alignment horizontal="center" vertical="center" wrapText="1"/>
      <protection hidden="1"/>
    </xf>
    <xf numFmtId="0" fontId="6" fillId="5" borderId="36" xfId="0" applyFont="1" applyFill="1" applyBorder="1" applyAlignment="1" applyProtection="1">
      <alignment horizontal="center" vertical="center" wrapText="1"/>
      <protection hidden="1"/>
    </xf>
    <xf numFmtId="0" fontId="6" fillId="5" borderId="37" xfId="0" applyFont="1" applyFill="1" applyBorder="1" applyAlignment="1" applyProtection="1">
      <alignment horizontal="center" vertical="center" wrapText="1"/>
      <protection hidden="1"/>
    </xf>
    <xf numFmtId="3" fontId="0" fillId="0" borderId="35" xfId="0" applyNumberFormat="1" applyBorder="1" applyAlignment="1" applyProtection="1">
      <alignment horizontal="center" vertical="center" wrapText="1"/>
      <protection hidden="1"/>
    </xf>
    <xf numFmtId="3" fontId="0" fillId="0" borderId="5" xfId="0" applyNumberFormat="1" applyBorder="1" applyAlignment="1" applyProtection="1">
      <alignment horizontal="center" vertical="center" wrapText="1"/>
      <protection hidden="1"/>
    </xf>
    <xf numFmtId="0" fontId="6" fillId="7" borderId="15" xfId="0" applyFont="1" applyFill="1" applyBorder="1" applyAlignment="1" applyProtection="1">
      <alignment horizontal="center" vertical="center" wrapText="1"/>
      <protection hidden="1"/>
    </xf>
    <xf numFmtId="0" fontId="8" fillId="0" borderId="38" xfId="0" applyFont="1" applyBorder="1" applyAlignment="1" applyProtection="1">
      <alignment horizontal="center" vertical="center" wrapText="1"/>
      <protection hidden="1"/>
    </xf>
    <xf numFmtId="0" fontId="5" fillId="0" borderId="6" xfId="0" applyFont="1" applyBorder="1" applyAlignment="1" applyProtection="1">
      <alignment horizontal="center" vertical="center" wrapText="1"/>
      <protection hidden="1"/>
    </xf>
    <xf numFmtId="0" fontId="7" fillId="0" borderId="41" xfId="0" applyFont="1" applyBorder="1" applyAlignment="1" applyProtection="1">
      <alignment horizontal="center" vertical="center" wrapText="1"/>
      <protection hidden="1"/>
    </xf>
    <xf numFmtId="0" fontId="0" fillId="0" borderId="39" xfId="0" applyBorder="1" applyAlignment="1" applyProtection="1">
      <alignment horizontal="center" vertical="center" wrapText="1"/>
      <protection hidden="1"/>
    </xf>
    <xf numFmtId="3" fontId="0" fillId="9" borderId="44" xfId="0" applyNumberFormat="1" applyFill="1" applyBorder="1" applyAlignment="1" applyProtection="1">
      <alignment horizontal="center" vertical="center" wrapText="1"/>
      <protection hidden="1"/>
    </xf>
    <xf numFmtId="0" fontId="6" fillId="5" borderId="42" xfId="0" applyFont="1" applyFill="1" applyBorder="1" applyAlignment="1" applyProtection="1">
      <alignment horizontal="center" vertical="center" wrapText="1"/>
      <protection hidden="1"/>
    </xf>
    <xf numFmtId="0" fontId="6" fillId="5" borderId="3" xfId="0" applyFont="1" applyFill="1" applyBorder="1" applyAlignment="1" applyProtection="1">
      <alignment horizontal="center" vertical="center" wrapText="1"/>
      <protection hidden="1"/>
    </xf>
    <xf numFmtId="0" fontId="6" fillId="7" borderId="3" xfId="0" applyFont="1" applyFill="1" applyBorder="1" applyAlignment="1" applyProtection="1">
      <alignment horizontal="center" vertical="center" wrapText="1"/>
      <protection hidden="1"/>
    </xf>
    <xf numFmtId="0" fontId="6" fillId="5" borderId="4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Alignment="1" applyProtection="1">
      <alignment horizontal="center" vertical="center" wrapText="1"/>
      <protection hidden="1"/>
    </xf>
    <xf numFmtId="3" fontId="0" fillId="9" borderId="10" xfId="0" applyNumberFormat="1" applyFill="1" applyBorder="1" applyAlignment="1" applyProtection="1">
      <alignment horizontal="center" vertical="center" wrapText="1"/>
      <protection hidden="1"/>
    </xf>
    <xf numFmtId="0" fontId="6" fillId="5" borderId="43" xfId="0" applyFont="1" applyFill="1" applyBorder="1" applyAlignment="1" applyProtection="1">
      <alignment horizontal="center" vertical="center" wrapText="1"/>
      <protection hidden="1"/>
    </xf>
    <xf numFmtId="3" fontId="0" fillId="9" borderId="6" xfId="0" applyNumberFormat="1" applyFill="1" applyBorder="1" applyAlignment="1" applyProtection="1">
      <alignment horizontal="center" vertical="center" wrapText="1"/>
      <protection hidden="1"/>
    </xf>
    <xf numFmtId="0" fontId="0" fillId="0" borderId="29" xfId="0" applyFont="1" applyBorder="1" applyProtection="1">
      <protection hidden="1"/>
    </xf>
    <xf numFmtId="0" fontId="9" fillId="0" borderId="29" xfId="0" applyFont="1" applyBorder="1" applyProtection="1">
      <protection hidden="1"/>
    </xf>
    <xf numFmtId="0" fontId="0" fillId="8" borderId="29" xfId="0" applyFont="1" applyFill="1" applyBorder="1" applyProtection="1">
      <protection hidden="1"/>
    </xf>
    <xf numFmtId="49" fontId="0" fillId="8" borderId="29" xfId="0" applyNumberFormat="1" applyFont="1" applyFill="1" applyBorder="1" applyProtection="1">
      <protection hidden="1"/>
    </xf>
    <xf numFmtId="0" fontId="0" fillId="0" borderId="29" xfId="0" applyFont="1" applyFill="1" applyBorder="1" applyProtection="1">
      <protection hidden="1"/>
    </xf>
    <xf numFmtId="49" fontId="0" fillId="8" borderId="0" xfId="0" applyNumberFormat="1" applyFill="1" applyProtection="1">
      <protection hidden="1"/>
    </xf>
    <xf numFmtId="0" fontId="0" fillId="0" borderId="0" xfId="0" applyProtection="1">
      <protection hidden="1"/>
    </xf>
    <xf numFmtId="0" fontId="0" fillId="8" borderId="29" xfId="0" applyFont="1" applyFill="1" applyBorder="1" applyAlignment="1" applyProtection="1">
      <alignment horizontal="left"/>
      <protection hidden="1"/>
    </xf>
    <xf numFmtId="0" fontId="9" fillId="0" borderId="29" xfId="0" applyFont="1" applyFill="1" applyBorder="1" applyProtection="1">
      <protection hidden="1"/>
    </xf>
    <xf numFmtId="0" fontId="0" fillId="8" borderId="29" xfId="0" applyFill="1" applyBorder="1" applyProtection="1">
      <protection hidden="1"/>
    </xf>
    <xf numFmtId="0" fontId="0" fillId="12" borderId="29" xfId="0" applyFont="1" applyFill="1" applyBorder="1" applyProtection="1">
      <protection hidden="1"/>
    </xf>
    <xf numFmtId="0" fontId="4" fillId="13" borderId="4" xfId="0" applyFont="1" applyFill="1" applyBorder="1" applyAlignment="1" applyProtection="1">
      <alignment horizontal="center" vertical="center"/>
      <protection locked="0" hidden="1"/>
    </xf>
    <xf numFmtId="49" fontId="4" fillId="13" borderId="4" xfId="1" applyNumberFormat="1" applyFont="1" applyFill="1" applyBorder="1" applyAlignment="1" applyProtection="1">
      <alignment horizontal="center" vertical="center"/>
      <protection locked="0" hidden="1"/>
    </xf>
    <xf numFmtId="0" fontId="4" fillId="13" borderId="4" xfId="1" applyFont="1" applyFill="1" applyBorder="1" applyAlignment="1" applyProtection="1">
      <alignment horizontal="center" vertical="center"/>
      <protection locked="0" hidden="1"/>
    </xf>
    <xf numFmtId="0" fontId="4" fillId="14" borderId="4" xfId="0" applyFont="1" applyFill="1" applyBorder="1" applyAlignment="1" applyProtection="1">
      <alignment horizontal="center" vertical="center"/>
      <protection locked="0" hidden="1"/>
    </xf>
    <xf numFmtId="0" fontId="4" fillId="14" borderId="4" xfId="1" applyFont="1" applyFill="1" applyBorder="1" applyAlignment="1" applyProtection="1">
      <alignment horizontal="center" vertical="center"/>
      <protection locked="0" hidden="1"/>
    </xf>
    <xf numFmtId="0" fontId="4" fillId="5" borderId="2" xfId="0" applyFont="1" applyFill="1" applyBorder="1" applyAlignment="1" applyProtection="1">
      <alignment horizontal="center" vertical="center"/>
      <protection hidden="1"/>
    </xf>
    <xf numFmtId="0" fontId="4" fillId="5" borderId="20" xfId="0" applyFont="1" applyFill="1" applyBorder="1" applyAlignment="1" applyProtection="1">
      <alignment horizontal="center" vertical="center"/>
      <protection hidden="1"/>
    </xf>
    <xf numFmtId="0" fontId="4" fillId="5" borderId="2" xfId="0" applyFont="1" applyFill="1" applyBorder="1" applyAlignment="1" applyProtection="1">
      <alignment horizontal="center" vertical="center" wrapText="1"/>
      <protection hidden="1"/>
    </xf>
    <xf numFmtId="0" fontId="4" fillId="5" borderId="5" xfId="0" applyFont="1" applyFill="1" applyBorder="1" applyAlignment="1" applyProtection="1">
      <alignment horizontal="center" vertical="center"/>
      <protection hidden="1"/>
    </xf>
    <xf numFmtId="0" fontId="4" fillId="14" borderId="4" xfId="1" applyNumberFormat="1" applyFont="1" applyFill="1" applyBorder="1" applyAlignment="1" applyProtection="1">
      <alignment horizontal="center" vertical="center"/>
      <protection locked="0" hidden="1"/>
    </xf>
    <xf numFmtId="0" fontId="4" fillId="14" borderId="8" xfId="1" applyNumberFormat="1" applyFont="1" applyFill="1" applyBorder="1" applyAlignment="1" applyProtection="1">
      <alignment horizontal="center" vertical="center"/>
      <protection locked="0" hidden="1"/>
    </xf>
    <xf numFmtId="0" fontId="10" fillId="11" borderId="47" xfId="0" applyFont="1" applyFill="1" applyBorder="1" applyProtection="1"/>
    <xf numFmtId="0" fontId="11" fillId="11" borderId="47" xfId="0" applyFont="1" applyFill="1" applyBorder="1" applyProtection="1"/>
    <xf numFmtId="0" fontId="16" fillId="0" borderId="32" xfId="0" applyFont="1" applyBorder="1" applyProtection="1">
      <protection hidden="1"/>
    </xf>
    <xf numFmtId="0" fontId="18" fillId="11" borderId="47" xfId="0" applyFont="1" applyFill="1" applyBorder="1" applyAlignment="1" applyProtection="1">
      <alignment vertical="center" wrapText="1"/>
    </xf>
    <xf numFmtId="0" fontId="14" fillId="11" borderId="47" xfId="0" applyFont="1" applyFill="1" applyBorder="1" applyAlignment="1" applyProtection="1">
      <alignment vertical="center" wrapText="1"/>
    </xf>
    <xf numFmtId="0" fontId="15" fillId="11" borderId="47" xfId="0" applyFont="1" applyFill="1" applyBorder="1" applyAlignment="1" applyProtection="1">
      <alignment horizontal="left" vertical="center" wrapText="1" readingOrder="1"/>
    </xf>
    <xf numFmtId="0" fontId="15" fillId="11" borderId="47" xfId="0" applyFont="1" applyFill="1" applyBorder="1" applyAlignment="1" applyProtection="1">
      <alignment vertical="center" wrapText="1"/>
    </xf>
    <xf numFmtId="0" fontId="15" fillId="5" borderId="50" xfId="0" applyFont="1" applyFill="1" applyBorder="1" applyAlignment="1" applyProtection="1">
      <alignment wrapText="1"/>
    </xf>
    <xf numFmtId="0" fontId="15" fillId="5" borderId="53" xfId="0" applyFont="1" applyFill="1" applyBorder="1" applyAlignment="1" applyProtection="1">
      <alignment wrapText="1"/>
    </xf>
    <xf numFmtId="0" fontId="15" fillId="5" borderId="51" xfId="0" applyFont="1" applyFill="1" applyBorder="1" applyAlignment="1" applyProtection="1">
      <alignment wrapText="1"/>
    </xf>
    <xf numFmtId="0" fontId="15" fillId="5" borderId="52" xfId="0" applyFont="1" applyFill="1" applyBorder="1" applyAlignment="1" applyProtection="1">
      <alignment wrapText="1"/>
    </xf>
    <xf numFmtId="0" fontId="15" fillId="5" borderId="54" xfId="0" applyFont="1" applyFill="1" applyBorder="1" applyAlignment="1" applyProtection="1">
      <alignment wrapText="1"/>
    </xf>
    <xf numFmtId="0" fontId="6" fillId="5" borderId="18" xfId="0" applyFont="1" applyFill="1" applyBorder="1" applyAlignment="1" applyProtection="1">
      <alignment horizontal="center" vertical="center" wrapText="1"/>
      <protection hidden="1"/>
    </xf>
    <xf numFmtId="0" fontId="19" fillId="11" borderId="47" xfId="3" applyFill="1" applyBorder="1" applyAlignment="1" applyProtection="1">
      <alignment vertical="center" wrapText="1"/>
    </xf>
    <xf numFmtId="0" fontId="0" fillId="0" borderId="29" xfId="0" applyFont="1" applyBorder="1" applyAlignment="1" applyProtection="1">
      <alignment horizontal="left" vertical="center"/>
      <protection hidden="1"/>
    </xf>
    <xf numFmtId="0" fontId="9" fillId="0" borderId="29" xfId="0" applyFont="1" applyBorder="1" applyAlignment="1" applyProtection="1">
      <alignment horizontal="left" vertical="center"/>
      <protection hidden="1"/>
    </xf>
    <xf numFmtId="49" fontId="0" fillId="8" borderId="29" xfId="0" applyNumberFormat="1" applyFont="1" applyFill="1" applyBorder="1" applyAlignment="1" applyProtection="1">
      <alignment horizontal="left" vertical="center"/>
      <protection hidden="1"/>
    </xf>
    <xf numFmtId="49" fontId="0" fillId="8" borderId="0" xfId="0" applyNumberFormat="1" applyFill="1" applyAlignment="1" applyProtection="1">
      <alignment horizontal="left" vertical="center"/>
      <protection hidden="1"/>
    </xf>
    <xf numFmtId="0" fontId="0" fillId="8" borderId="29" xfId="0" applyFont="1" applyFill="1" applyBorder="1" applyAlignment="1" applyProtection="1">
      <alignment horizontal="left" vertical="center"/>
      <protection hidden="1"/>
    </xf>
    <xf numFmtId="0" fontId="0" fillId="0" borderId="29" xfId="0" applyBorder="1" applyAlignment="1" applyProtection="1">
      <alignment horizontal="left" vertical="center"/>
      <protection hidden="1"/>
    </xf>
    <xf numFmtId="0" fontId="0" fillId="0" borderId="29" xfId="0" applyFont="1" applyFill="1" applyBorder="1" applyAlignment="1" applyProtection="1">
      <alignment horizontal="left" vertical="center"/>
      <protection hidden="1"/>
    </xf>
    <xf numFmtId="0" fontId="0" fillId="0" borderId="29" xfId="0" applyFont="1" applyBorder="1" applyAlignment="1" applyProtection="1">
      <alignment horizontal="left"/>
      <protection hidden="1"/>
    </xf>
    <xf numFmtId="0" fontId="9" fillId="0" borderId="29" xfId="0" applyFont="1" applyBorder="1" applyAlignment="1" applyProtection="1">
      <alignment horizontal="left"/>
      <protection hidden="1"/>
    </xf>
    <xf numFmtId="0" fontId="0" fillId="0" borderId="29" xfId="0" applyBorder="1" applyAlignment="1" applyProtection="1">
      <alignment horizontal="left"/>
      <protection hidden="1"/>
    </xf>
    <xf numFmtId="49" fontId="0" fillId="8" borderId="29" xfId="0" applyNumberFormat="1" applyFont="1" applyFill="1" applyBorder="1" applyAlignment="1" applyProtection="1">
      <alignment horizontal="left"/>
      <protection hidden="1"/>
    </xf>
    <xf numFmtId="0" fontId="0" fillId="0" borderId="29" xfId="0" applyFont="1" applyFill="1" applyBorder="1" applyAlignment="1" applyProtection="1">
      <alignment horizontal="left"/>
      <protection hidden="1"/>
    </xf>
    <xf numFmtId="49" fontId="0" fillId="8" borderId="0" xfId="0" applyNumberFormat="1" applyFill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0" fontId="0" fillId="12" borderId="29" xfId="0" applyFont="1" applyFill="1" applyBorder="1" applyAlignment="1" applyProtection="1">
      <alignment horizontal="left"/>
      <protection hidden="1"/>
    </xf>
    <xf numFmtId="0" fontId="0" fillId="8" borderId="29" xfId="0" applyFill="1" applyBorder="1" applyAlignment="1" applyProtection="1">
      <alignment horizontal="left"/>
      <protection hidden="1"/>
    </xf>
    <xf numFmtId="0" fontId="9" fillId="0" borderId="29" xfId="0" applyFont="1" applyFill="1" applyBorder="1" applyAlignment="1" applyProtection="1">
      <alignment horizontal="left"/>
      <protection hidden="1"/>
    </xf>
    <xf numFmtId="0" fontId="6" fillId="5" borderId="3" xfId="0" applyFont="1" applyFill="1" applyBorder="1" applyAlignment="1" applyProtection="1">
      <alignment horizontal="center" vertical="center" wrapText="1"/>
      <protection hidden="1"/>
    </xf>
    <xf numFmtId="0" fontId="6" fillId="5" borderId="4" xfId="0" applyFont="1" applyFill="1" applyBorder="1" applyAlignment="1" applyProtection="1">
      <alignment horizontal="center" vertical="center" wrapText="1"/>
      <protection hidden="1"/>
    </xf>
    <xf numFmtId="0" fontId="6" fillId="0" borderId="3" xfId="0" applyFont="1" applyBorder="1" applyAlignment="1" applyProtection="1">
      <alignment horizontal="center" vertical="center" wrapText="1"/>
      <protection hidden="1"/>
    </xf>
    <xf numFmtId="0" fontId="0" fillId="0" borderId="11" xfId="0" applyBorder="1" applyAlignment="1" applyProtection="1">
      <alignment horizontal="center" vertic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6" fillId="5" borderId="21" xfId="0" applyFont="1" applyFill="1" applyBorder="1" applyAlignment="1" applyProtection="1">
      <alignment horizontal="center" vertical="center" wrapText="1"/>
      <protection hidden="1"/>
    </xf>
    <xf numFmtId="0" fontId="6" fillId="5" borderId="22" xfId="0" applyFont="1" applyFill="1" applyBorder="1" applyAlignment="1" applyProtection="1">
      <alignment horizontal="center" vertical="center" wrapText="1"/>
      <protection hidden="1"/>
    </xf>
    <xf numFmtId="0" fontId="6" fillId="5" borderId="23" xfId="0" applyFont="1" applyFill="1" applyBorder="1" applyAlignment="1" applyProtection="1">
      <alignment horizontal="center" vertical="center" wrapText="1"/>
      <protection hidden="1"/>
    </xf>
    <xf numFmtId="0" fontId="6" fillId="5" borderId="24" xfId="0" applyFont="1" applyFill="1" applyBorder="1" applyAlignment="1" applyProtection="1">
      <alignment horizontal="center" vertical="center" wrapText="1"/>
      <protection hidden="1"/>
    </xf>
    <xf numFmtId="0" fontId="6" fillId="5" borderId="25" xfId="0" applyFont="1" applyFill="1" applyBorder="1" applyAlignment="1" applyProtection="1">
      <alignment horizontal="center" vertical="center" wrapText="1"/>
      <protection hidden="1"/>
    </xf>
    <xf numFmtId="0" fontId="6" fillId="5" borderId="26" xfId="0" applyFont="1" applyFill="1" applyBorder="1" applyAlignment="1" applyProtection="1">
      <alignment horizontal="center" vertical="center" wrapText="1"/>
      <protection hidden="1"/>
    </xf>
    <xf numFmtId="0" fontId="6" fillId="0" borderId="3" xfId="0" applyFont="1" applyBorder="1" applyAlignment="1" applyProtection="1">
      <alignment horizontal="center" vertical="center" textRotation="90" wrapText="1"/>
      <protection hidden="1"/>
    </xf>
    <xf numFmtId="0" fontId="6" fillId="4" borderId="18" xfId="0" applyFont="1" applyFill="1" applyBorder="1" applyAlignment="1" applyProtection="1">
      <alignment horizontal="center" vertical="center" wrapText="1"/>
      <protection hidden="1"/>
    </xf>
    <xf numFmtId="0" fontId="6" fillId="4" borderId="7" xfId="0" applyFont="1" applyFill="1" applyBorder="1" applyAlignment="1" applyProtection="1">
      <alignment horizontal="center" vertical="center" wrapText="1"/>
      <protection hidden="1"/>
    </xf>
    <xf numFmtId="0" fontId="6" fillId="5" borderId="18" xfId="0" applyFont="1" applyFill="1" applyBorder="1" applyAlignment="1" applyProtection="1">
      <alignment horizontal="center" vertical="center" wrapText="1"/>
      <protection hidden="1"/>
    </xf>
    <xf numFmtId="0" fontId="6" fillId="5" borderId="7" xfId="0" applyFont="1" applyFill="1" applyBorder="1" applyAlignment="1" applyProtection="1">
      <alignment horizontal="center" vertical="center" wrapText="1"/>
      <protection hidden="1"/>
    </xf>
    <xf numFmtId="0" fontId="6" fillId="0" borderId="2" xfId="0" applyFont="1" applyBorder="1" applyAlignment="1" applyProtection="1">
      <alignment horizontal="center" vertical="center" wrapText="1"/>
      <protection hidden="1"/>
    </xf>
    <xf numFmtId="0" fontId="3" fillId="6" borderId="12" xfId="0" applyFont="1" applyFill="1" applyBorder="1" applyAlignment="1" applyProtection="1">
      <alignment horizontal="center" vertical="center"/>
      <protection hidden="1"/>
    </xf>
    <xf numFmtId="0" fontId="3" fillId="6" borderId="14" xfId="0" applyFont="1" applyFill="1" applyBorder="1" applyAlignment="1" applyProtection="1">
      <alignment horizontal="center" vertical="center"/>
      <protection hidden="1"/>
    </xf>
    <xf numFmtId="0" fontId="6" fillId="5" borderId="21" xfId="0" applyFont="1" applyFill="1" applyBorder="1" applyAlignment="1" applyProtection="1">
      <alignment horizontal="center" vertical="center" textRotation="90" wrapText="1"/>
      <protection hidden="1"/>
    </xf>
    <xf numFmtId="0" fontId="6" fillId="5" borderId="22" xfId="0" applyFont="1" applyFill="1" applyBorder="1" applyAlignment="1" applyProtection="1">
      <alignment horizontal="center" vertical="center" textRotation="90" wrapText="1"/>
      <protection hidden="1"/>
    </xf>
    <xf numFmtId="0" fontId="6" fillId="5" borderId="23" xfId="0" applyFont="1" applyFill="1" applyBorder="1" applyAlignment="1" applyProtection="1">
      <alignment horizontal="center" vertical="center" textRotation="90" wrapText="1"/>
      <protection hidden="1"/>
    </xf>
    <xf numFmtId="0" fontId="6" fillId="5" borderId="24" xfId="0" applyFont="1" applyFill="1" applyBorder="1" applyAlignment="1" applyProtection="1">
      <alignment horizontal="center" vertical="center" textRotation="90" wrapText="1"/>
      <protection hidden="1"/>
    </xf>
    <xf numFmtId="0" fontId="6" fillId="5" borderId="25" xfId="0" applyFont="1" applyFill="1" applyBorder="1" applyAlignment="1" applyProtection="1">
      <alignment horizontal="center" vertical="center" textRotation="90" wrapText="1"/>
      <protection hidden="1"/>
    </xf>
    <xf numFmtId="0" fontId="6" fillId="5" borderId="26" xfId="0" applyFont="1" applyFill="1" applyBorder="1" applyAlignment="1" applyProtection="1">
      <alignment horizontal="center" vertical="center" textRotation="90" wrapText="1"/>
      <protection hidden="1"/>
    </xf>
    <xf numFmtId="0" fontId="6" fillId="5" borderId="27" xfId="0" applyFont="1" applyFill="1" applyBorder="1" applyAlignment="1" applyProtection="1">
      <alignment horizontal="center" vertical="center" wrapText="1"/>
      <protection hidden="1"/>
    </xf>
    <xf numFmtId="0" fontId="6" fillId="5" borderId="28" xfId="0" applyFont="1" applyFill="1" applyBorder="1" applyAlignment="1" applyProtection="1">
      <alignment horizontal="center" vertical="center" wrapText="1"/>
      <protection hidden="1"/>
    </xf>
    <xf numFmtId="0" fontId="0" fillId="8" borderId="11" xfId="0" applyFill="1" applyBorder="1" applyAlignment="1" applyProtection="1">
      <alignment horizontal="center" vertical="center" wrapText="1"/>
      <protection hidden="1"/>
    </xf>
    <xf numFmtId="0" fontId="0" fillId="8" borderId="16" xfId="0" applyFill="1" applyBorder="1" applyAlignment="1" applyProtection="1">
      <alignment horizontal="center" vertical="center" wrapText="1"/>
      <protection hidden="1"/>
    </xf>
    <xf numFmtId="0" fontId="6" fillId="4" borderId="18" xfId="0" applyFont="1" applyFill="1" applyBorder="1" applyAlignment="1" applyProtection="1">
      <alignment horizontal="center" vertical="center" textRotation="90" wrapText="1"/>
      <protection hidden="1"/>
    </xf>
    <xf numFmtId="0" fontId="6" fillId="4" borderId="7" xfId="0" applyFont="1" applyFill="1" applyBorder="1" applyAlignment="1" applyProtection="1">
      <alignment horizontal="center" vertical="center" textRotation="90" wrapText="1"/>
      <protection hidden="1"/>
    </xf>
    <xf numFmtId="0" fontId="6" fillId="4" borderId="19" xfId="0" applyFont="1" applyFill="1" applyBorder="1" applyAlignment="1" applyProtection="1">
      <alignment horizontal="center" vertical="center" wrapText="1"/>
      <protection hidden="1"/>
    </xf>
    <xf numFmtId="0" fontId="6" fillId="4" borderId="8" xfId="0" applyFont="1" applyFill="1" applyBorder="1" applyAlignment="1" applyProtection="1">
      <alignment horizontal="center" vertical="center" wrapText="1"/>
      <protection hidden="1"/>
    </xf>
    <xf numFmtId="0" fontId="0" fillId="5" borderId="7" xfId="0" applyFill="1" applyBorder="1" applyProtection="1">
      <protection hidden="1"/>
    </xf>
    <xf numFmtId="0" fontId="6" fillId="4" borderId="21" xfId="0" applyFont="1" applyFill="1" applyBorder="1" applyAlignment="1" applyProtection="1">
      <alignment horizontal="center" vertical="center" wrapText="1"/>
      <protection hidden="1"/>
    </xf>
    <xf numFmtId="0" fontId="6" fillId="4" borderId="22" xfId="0" applyFont="1" applyFill="1" applyBorder="1" applyAlignment="1" applyProtection="1">
      <alignment horizontal="center" vertical="center" wrapText="1"/>
      <protection hidden="1"/>
    </xf>
    <xf numFmtId="0" fontId="6" fillId="4" borderId="23" xfId="0" applyFont="1" applyFill="1" applyBorder="1" applyAlignment="1" applyProtection="1">
      <alignment horizontal="center" vertical="center" wrapText="1"/>
      <protection hidden="1"/>
    </xf>
    <xf numFmtId="0" fontId="6" fillId="4" borderId="24" xfId="0" applyFont="1" applyFill="1" applyBorder="1" applyAlignment="1" applyProtection="1">
      <alignment horizontal="center" vertical="center" wrapText="1"/>
      <protection hidden="1"/>
    </xf>
    <xf numFmtId="0" fontId="6" fillId="4" borderId="25" xfId="0" applyFont="1" applyFill="1" applyBorder="1" applyAlignment="1" applyProtection="1">
      <alignment horizontal="center" vertical="center" wrapText="1"/>
      <protection hidden="1"/>
    </xf>
    <xf numFmtId="0" fontId="6" fillId="4" borderId="26" xfId="0" applyFont="1" applyFill="1" applyBorder="1" applyAlignment="1" applyProtection="1">
      <alignment horizontal="center" vertical="center" wrapText="1"/>
      <protection hidden="1"/>
    </xf>
    <xf numFmtId="0" fontId="6" fillId="0" borderId="17" xfId="0" applyFont="1" applyBorder="1" applyAlignment="1" applyProtection="1">
      <alignment horizontal="center" vertical="center" wrapText="1"/>
      <protection hidden="1"/>
    </xf>
    <xf numFmtId="0" fontId="6" fillId="0" borderId="20" xfId="0" applyFont="1" applyBorder="1" applyAlignment="1" applyProtection="1">
      <alignment horizontal="center" vertical="center" wrapText="1"/>
      <protection hidden="1"/>
    </xf>
    <xf numFmtId="0" fontId="6" fillId="0" borderId="4" xfId="0" applyFont="1" applyBorder="1" applyAlignment="1" applyProtection="1">
      <alignment horizontal="center" vertical="center" wrapText="1"/>
      <protection hidden="1"/>
    </xf>
    <xf numFmtId="0" fontId="6" fillId="0" borderId="18" xfId="0" applyFont="1" applyBorder="1" applyAlignment="1" applyProtection="1">
      <alignment horizontal="center" vertical="center" wrapText="1"/>
      <protection hidden="1"/>
    </xf>
    <xf numFmtId="0" fontId="6" fillId="0" borderId="19" xfId="0" applyFont="1" applyBorder="1" applyAlignment="1" applyProtection="1">
      <alignment horizontal="center" vertical="center" wrapText="1"/>
      <protection hidden="1"/>
    </xf>
    <xf numFmtId="0" fontId="6" fillId="0" borderId="7" xfId="0" applyFont="1" applyBorder="1" applyAlignment="1" applyProtection="1">
      <alignment horizontal="center" vertical="center" wrapText="1"/>
      <protection hidden="1"/>
    </xf>
    <xf numFmtId="0" fontId="6" fillId="0" borderId="8" xfId="0" applyFont="1" applyBorder="1" applyAlignment="1" applyProtection="1">
      <alignment horizontal="center" vertical="center" wrapText="1"/>
      <protection hidden="1"/>
    </xf>
    <xf numFmtId="0" fontId="6" fillId="5" borderId="19" xfId="0" applyFont="1" applyFill="1" applyBorder="1" applyAlignment="1" applyProtection="1">
      <alignment horizontal="center" vertical="center" wrapText="1"/>
      <protection hidden="1"/>
    </xf>
    <xf numFmtId="0" fontId="6" fillId="5" borderId="8" xfId="0" applyFont="1" applyFill="1" applyBorder="1" applyAlignment="1" applyProtection="1">
      <alignment horizontal="center" vertical="center" wrapText="1"/>
      <protection hidden="1"/>
    </xf>
    <xf numFmtId="0" fontId="6" fillId="8" borderId="18" xfId="0" applyFont="1" applyFill="1" applyBorder="1" applyAlignment="1" applyProtection="1">
      <alignment horizontal="center" vertical="center" wrapText="1"/>
      <protection hidden="1"/>
    </xf>
    <xf numFmtId="0" fontId="6" fillId="8" borderId="7" xfId="0" applyFont="1" applyFill="1" applyBorder="1" applyAlignment="1" applyProtection="1">
      <alignment horizontal="center" vertical="center" wrapText="1"/>
      <protection hidden="1"/>
    </xf>
    <xf numFmtId="0" fontId="6" fillId="4" borderId="3" xfId="0" applyFont="1" applyFill="1" applyBorder="1" applyAlignment="1" applyProtection="1">
      <alignment horizontal="center" vertical="center" wrapText="1"/>
      <protection hidden="1"/>
    </xf>
    <xf numFmtId="0" fontId="6" fillId="4" borderId="4" xfId="0" applyFont="1" applyFill="1" applyBorder="1" applyAlignment="1" applyProtection="1">
      <alignment horizontal="center" vertical="center" wrapText="1"/>
      <protection hidden="1"/>
    </xf>
    <xf numFmtId="0" fontId="6" fillId="4" borderId="42" xfId="0" applyFont="1" applyFill="1" applyBorder="1" applyAlignment="1" applyProtection="1">
      <alignment horizontal="center" vertical="center" wrapText="1"/>
      <protection hidden="1"/>
    </xf>
    <xf numFmtId="0" fontId="24" fillId="15" borderId="55" xfId="0" applyFont="1" applyFill="1" applyBorder="1" applyAlignment="1" applyProtection="1">
      <alignment horizontal="left" vertical="center" wrapText="1"/>
      <protection hidden="1"/>
    </xf>
    <xf numFmtId="0" fontId="24" fillId="15" borderId="56" xfId="0" applyFont="1" applyFill="1" applyBorder="1" applyAlignment="1" applyProtection="1">
      <alignment horizontal="left" vertical="center"/>
      <protection hidden="1"/>
    </xf>
    <xf numFmtId="0" fontId="24" fillId="15" borderId="57" xfId="0" applyFont="1" applyFill="1" applyBorder="1" applyAlignment="1" applyProtection="1">
      <alignment horizontal="left" vertical="center"/>
      <protection hidden="1"/>
    </xf>
    <xf numFmtId="0" fontId="24" fillId="15" borderId="58" xfId="0" applyFont="1" applyFill="1" applyBorder="1" applyAlignment="1" applyProtection="1">
      <alignment horizontal="left" vertical="center"/>
      <protection hidden="1"/>
    </xf>
    <xf numFmtId="0" fontId="24" fillId="15" borderId="0" xfId="0" applyFont="1" applyFill="1" applyBorder="1" applyAlignment="1" applyProtection="1">
      <alignment horizontal="left" vertical="center"/>
      <protection hidden="1"/>
    </xf>
    <xf numFmtId="0" fontId="24" fillId="15" borderId="59" xfId="0" applyFont="1" applyFill="1" applyBorder="1" applyAlignment="1" applyProtection="1">
      <alignment horizontal="left" vertical="center"/>
      <protection hidden="1"/>
    </xf>
    <xf numFmtId="0" fontId="24" fillId="15" borderId="60" xfId="0" applyFont="1" applyFill="1" applyBorder="1" applyAlignment="1" applyProtection="1">
      <alignment horizontal="left" vertical="center"/>
      <protection hidden="1"/>
    </xf>
    <xf numFmtId="0" fontId="24" fillId="15" borderId="61" xfId="0" applyFont="1" applyFill="1" applyBorder="1" applyAlignment="1" applyProtection="1">
      <alignment horizontal="left" vertical="center"/>
      <protection hidden="1"/>
    </xf>
    <xf numFmtId="0" fontId="24" fillId="15" borderId="62" xfId="0" applyFont="1" applyFill="1" applyBorder="1" applyAlignment="1" applyProtection="1">
      <alignment horizontal="left" vertical="center"/>
      <protection hidden="1"/>
    </xf>
    <xf numFmtId="0" fontId="21" fillId="8" borderId="55" xfId="0" applyFont="1" applyFill="1" applyBorder="1" applyAlignment="1" applyProtection="1">
      <alignment horizontal="left" vertical="center" wrapText="1"/>
      <protection hidden="1"/>
    </xf>
    <xf numFmtId="0" fontId="21" fillId="8" borderId="56" xfId="0" applyFont="1" applyFill="1" applyBorder="1" applyAlignment="1" applyProtection="1">
      <alignment horizontal="left" vertical="center" wrapText="1"/>
      <protection hidden="1"/>
    </xf>
    <xf numFmtId="0" fontId="21" fillId="8" borderId="57" xfId="0" applyFont="1" applyFill="1" applyBorder="1" applyAlignment="1" applyProtection="1">
      <alignment horizontal="left" vertical="center" wrapText="1"/>
      <protection hidden="1"/>
    </xf>
    <xf numFmtId="0" fontId="21" fillId="8" borderId="58" xfId="0" applyFont="1" applyFill="1" applyBorder="1" applyAlignment="1" applyProtection="1">
      <alignment horizontal="left" vertical="center" wrapText="1"/>
      <protection hidden="1"/>
    </xf>
    <xf numFmtId="0" fontId="21" fillId="8" borderId="0" xfId="0" applyFont="1" applyFill="1" applyBorder="1" applyAlignment="1" applyProtection="1">
      <alignment horizontal="left" vertical="center" wrapText="1"/>
      <protection hidden="1"/>
    </xf>
    <xf numFmtId="0" fontId="21" fillId="8" borderId="59" xfId="0" applyFont="1" applyFill="1" applyBorder="1" applyAlignment="1" applyProtection="1">
      <alignment horizontal="left" vertical="center" wrapText="1"/>
      <protection hidden="1"/>
    </xf>
    <xf numFmtId="0" fontId="21" fillId="8" borderId="60" xfId="0" applyFont="1" applyFill="1" applyBorder="1" applyAlignment="1" applyProtection="1">
      <alignment horizontal="left" vertical="center" wrapText="1"/>
      <protection hidden="1"/>
    </xf>
    <xf numFmtId="0" fontId="21" fillId="8" borderId="61" xfId="0" applyFont="1" applyFill="1" applyBorder="1" applyAlignment="1" applyProtection="1">
      <alignment horizontal="left" vertical="center" wrapText="1"/>
      <protection hidden="1"/>
    </xf>
    <xf numFmtId="0" fontId="21" fillId="8" borderId="62" xfId="0" applyFont="1" applyFill="1" applyBorder="1" applyAlignment="1" applyProtection="1">
      <alignment horizontal="left" vertical="center" wrapText="1"/>
      <protection hidden="1"/>
    </xf>
    <xf numFmtId="0" fontId="0" fillId="0" borderId="39" xfId="0" applyBorder="1" applyAlignment="1" applyProtection="1">
      <alignment horizontal="center" vertical="center" wrapText="1"/>
      <protection hidden="1"/>
    </xf>
    <xf numFmtId="0" fontId="6" fillId="0" borderId="44" xfId="0" applyFont="1" applyBorder="1" applyAlignment="1" applyProtection="1">
      <alignment horizontal="center" vertical="center" wrapText="1"/>
      <protection hidden="1"/>
    </xf>
  </cellXfs>
  <cellStyles count="4">
    <cellStyle name="Calculation" xfId="2" builtinId="22"/>
    <cellStyle name="Hyperlink" xfId="3" builtinId="8"/>
    <cellStyle name="Input" xfId="1" builtinId="20"/>
    <cellStyle name="Normal" xfId="0" builtinId="0"/>
  </cellStyles>
  <dxfs count="0"/>
  <tableStyles count="0" defaultTableStyle="TableStyleMedium9" defaultPivotStyle="PivotStyleLight16"/>
  <colors>
    <mruColors>
      <color rgb="FFC7ED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dex_LPDDR1_200MHz.inc" connectionId="1" xr16:uid="{00000000-0016-0000-02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dex_LPDDR1_200MHz" connectionId="1" xr16:uid="{00000000-0016-0000-03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community.freescale.com/docs/DOC-964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R19"/>
  <sheetViews>
    <sheetView workbookViewId="0">
      <pane xSplit="17" ySplit="18" topLeftCell="R19" activePane="bottomRight" state="frozen"/>
      <selection pane="topRight" activeCell="S1" sqref="S1"/>
      <selection pane="bottomLeft" activeCell="A21" sqref="A21"/>
      <selection pane="bottomRight" activeCell="G23" sqref="G23"/>
    </sheetView>
  </sheetViews>
  <sheetFormatPr defaultColWidth="9.109375" defaultRowHeight="14.4"/>
  <cols>
    <col min="1" max="16384" width="9.109375" style="1"/>
  </cols>
  <sheetData>
    <row r="1" spans="2:18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2:18" ht="17.399999999999999">
      <c r="B2" s="77" t="s">
        <v>359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4"/>
    </row>
    <row r="3" spans="2:18" ht="17.399999999999999">
      <c r="B3" s="78" t="s">
        <v>356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4"/>
    </row>
    <row r="4" spans="2:18" ht="17.399999999999999">
      <c r="B4" s="78" t="s">
        <v>357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4"/>
    </row>
    <row r="5" spans="2:18" ht="17.399999999999999">
      <c r="B5" s="78" t="s">
        <v>361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4"/>
    </row>
    <row r="6" spans="2:18" ht="17.399999999999999">
      <c r="B6" s="78" t="s">
        <v>364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4"/>
    </row>
    <row r="7" spans="2:18" ht="17.399999999999999">
      <c r="B7" s="77" t="s">
        <v>358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/>
    </row>
    <row r="8" spans="2:18" ht="17.399999999999999">
      <c r="B8" s="78" t="s">
        <v>552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4"/>
    </row>
    <row r="9" spans="2:18" ht="17.399999999999999">
      <c r="B9" s="78" t="s">
        <v>553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4"/>
    </row>
    <row r="10" spans="2:18" ht="17.399999999999999">
      <c r="B10" s="78" t="s">
        <v>554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4"/>
    </row>
    <row r="11" spans="2:18" ht="17.399999999999999">
      <c r="B11" s="78" t="s">
        <v>566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4"/>
    </row>
    <row r="12" spans="2:18" ht="17.399999999999999">
      <c r="B12" s="78" t="s">
        <v>555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4"/>
    </row>
    <row r="13" spans="2:18" ht="17.399999999999999">
      <c r="B13" s="78" t="s">
        <v>362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4"/>
    </row>
    <row r="14" spans="2:18" ht="17.399999999999999">
      <c r="B14" s="78" t="s">
        <v>363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4"/>
    </row>
    <row r="15" spans="2:18" ht="17.399999999999999">
      <c r="B15" s="78" t="s">
        <v>360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4"/>
    </row>
    <row r="16" spans="2:18" ht="17.399999999999999">
      <c r="B16" s="77" t="s">
        <v>365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4"/>
    </row>
    <row r="17" spans="2:18" ht="17.399999999999999">
      <c r="B17" s="78" t="s">
        <v>746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4"/>
    </row>
    <row r="18" spans="2:18" ht="17.399999999999999">
      <c r="B18" s="78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4"/>
    </row>
    <row r="19" spans="2:18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</sheetData>
  <sheetProtection algorithmName="SHA-512" hashValue="/JVjMIbjjxysCNWMjn91JwJJYKPzJN5vjbPVZIDKSCcigebg/gOw7TtBpeUEFWAsUAwiWWmCSv/R6mtucaXpvQ==" saltValue="JESGkjTBTKGOD9N1Mizq+Q==" spinCount="100000" sheet="1" selectLockedCells="1"/>
  <phoneticPr fontId="2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J388"/>
  <sheetViews>
    <sheetView tabSelected="1" topLeftCell="A2" zoomScaleNormal="100" workbookViewId="0">
      <selection activeCell="F14" sqref="F14"/>
    </sheetView>
  </sheetViews>
  <sheetFormatPr defaultColWidth="9.109375" defaultRowHeight="14.4"/>
  <cols>
    <col min="1" max="1" width="3.33203125" style="6" customWidth="1"/>
    <col min="2" max="2" width="40.6640625" style="6" customWidth="1"/>
    <col min="3" max="3" width="20.6640625" style="6" customWidth="1"/>
    <col min="4" max="35" width="3.33203125" style="6" customWidth="1"/>
    <col min="36" max="16384" width="9.109375" style="6"/>
  </cols>
  <sheetData>
    <row r="1" spans="1:31" ht="15" thickBot="1">
      <c r="B1" s="7"/>
      <c r="C1" s="7"/>
    </row>
    <row r="2" spans="1:31" ht="15.6">
      <c r="A2" s="8"/>
      <c r="B2" s="125" t="s">
        <v>0</v>
      </c>
      <c r="C2" s="126"/>
      <c r="D2" s="9"/>
      <c r="E2" s="10"/>
      <c r="F2" s="10"/>
      <c r="G2" s="10"/>
      <c r="H2" s="10"/>
      <c r="I2" s="10"/>
      <c r="J2" s="10"/>
    </row>
    <row r="3" spans="1:31">
      <c r="A3" s="8"/>
      <c r="B3" s="71" t="s">
        <v>2</v>
      </c>
      <c r="C3" s="67" t="s">
        <v>749</v>
      </c>
      <c r="D3" s="9"/>
      <c r="E3" s="10"/>
      <c r="F3" s="10"/>
      <c r="G3" s="10"/>
      <c r="H3" s="11"/>
      <c r="I3" s="11"/>
      <c r="J3" s="11"/>
    </row>
    <row r="4" spans="1:31">
      <c r="A4" s="8"/>
      <c r="B4" s="71" t="s">
        <v>3</v>
      </c>
      <c r="C4" s="67" t="s">
        <v>750</v>
      </c>
      <c r="D4" s="9"/>
      <c r="E4" s="10"/>
      <c r="F4" s="10"/>
      <c r="G4" s="10"/>
      <c r="H4" s="11"/>
      <c r="I4" s="11"/>
      <c r="J4" s="11"/>
    </row>
    <row r="5" spans="1:31" ht="15" customHeight="1">
      <c r="A5" s="8"/>
      <c r="B5" s="71" t="s">
        <v>1</v>
      </c>
      <c r="C5" s="66" t="s">
        <v>336</v>
      </c>
      <c r="D5" s="9">
        <f>IF(MID(C5,6,3)="160",1600,IF(MID(C5,6,3)="133",1333,IF(MID(C5,6,3)="106",1066,800)))</f>
        <v>1600</v>
      </c>
      <c r="E5" s="10"/>
      <c r="F5" s="10"/>
      <c r="G5" s="10"/>
      <c r="H5" s="11"/>
      <c r="I5" s="171" t="s">
        <v>747</v>
      </c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  <c r="AB5" s="172"/>
      <c r="AC5" s="172"/>
      <c r="AD5" s="172"/>
      <c r="AE5" s="173"/>
    </row>
    <row r="6" spans="1:31" ht="15" customHeight="1">
      <c r="A6" s="8"/>
      <c r="B6" s="71" t="s">
        <v>30</v>
      </c>
      <c r="C6" s="66">
        <v>8</v>
      </c>
      <c r="D6" s="9"/>
      <c r="E6" s="10"/>
      <c r="F6" s="10"/>
      <c r="G6" s="10"/>
      <c r="H6" s="11"/>
      <c r="I6" s="174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6"/>
    </row>
    <row r="7" spans="1:31" ht="15" customHeight="1">
      <c r="A7" s="8"/>
      <c r="B7" s="71" t="s">
        <v>31</v>
      </c>
      <c r="C7" s="66">
        <v>16</v>
      </c>
      <c r="D7" s="9"/>
      <c r="E7" s="10"/>
      <c r="F7" s="10"/>
      <c r="G7" s="10"/>
      <c r="H7" s="11"/>
      <c r="I7" s="174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1:31" ht="15" customHeight="1">
      <c r="A8" s="8"/>
      <c r="B8" s="71" t="s">
        <v>23</v>
      </c>
      <c r="C8" s="68">
        <v>8</v>
      </c>
      <c r="D8" s="9"/>
      <c r="E8" s="10"/>
      <c r="F8" s="10"/>
      <c r="G8" s="10"/>
      <c r="H8" s="11"/>
      <c r="I8" s="174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6"/>
    </row>
    <row r="9" spans="1:31" ht="15" customHeight="1">
      <c r="A9" s="8"/>
      <c r="B9" s="71" t="s">
        <v>24</v>
      </c>
      <c r="C9" s="68">
        <v>16</v>
      </c>
      <c r="D9" s="9"/>
      <c r="E9" s="10"/>
      <c r="F9" s="10"/>
      <c r="G9" s="10"/>
      <c r="H9" s="10"/>
      <c r="I9" s="174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6"/>
    </row>
    <row r="10" spans="1:31" ht="15" customHeight="1">
      <c r="A10" s="8"/>
      <c r="B10" s="71" t="s">
        <v>25</v>
      </c>
      <c r="C10" s="68">
        <v>10</v>
      </c>
      <c r="D10" s="9"/>
      <c r="E10" s="10"/>
      <c r="F10" s="10"/>
      <c r="G10" s="10"/>
      <c r="H10" s="10"/>
      <c r="I10" s="174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6"/>
    </row>
    <row r="11" spans="1:31" ht="15" customHeight="1">
      <c r="A11" s="8"/>
      <c r="B11" s="71" t="s">
        <v>281</v>
      </c>
      <c r="C11" s="68">
        <v>2</v>
      </c>
      <c r="D11" s="9"/>
      <c r="E11" s="10"/>
      <c r="F11" s="10"/>
      <c r="G11" s="10"/>
      <c r="H11" s="10"/>
      <c r="I11" s="174"/>
      <c r="J11" s="175"/>
      <c r="K11" s="175"/>
      <c r="L11" s="175"/>
      <c r="M11" s="175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6"/>
    </row>
    <row r="12" spans="1:31" ht="15" customHeight="1">
      <c r="A12" s="8"/>
      <c r="B12" s="71" t="s">
        <v>560</v>
      </c>
      <c r="C12" s="70" t="s">
        <v>748</v>
      </c>
      <c r="D12" s="9"/>
      <c r="E12" s="10"/>
      <c r="F12" s="10"/>
      <c r="G12" s="10"/>
      <c r="H12" s="10"/>
      <c r="I12" s="174"/>
      <c r="J12" s="175"/>
      <c r="K12" s="175"/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5"/>
      <c r="AD12" s="175"/>
      <c r="AE12" s="176"/>
    </row>
    <row r="13" spans="1:31" ht="15" hidden="1" customHeight="1">
      <c r="A13" s="8"/>
      <c r="B13" s="71" t="s">
        <v>29</v>
      </c>
      <c r="C13" s="70">
        <v>8</v>
      </c>
      <c r="D13" s="9"/>
      <c r="E13" s="10"/>
      <c r="F13" s="10"/>
      <c r="G13" s="10"/>
      <c r="H13" s="10"/>
      <c r="I13" s="174"/>
      <c r="J13" s="175"/>
      <c r="K13" s="175"/>
      <c r="L13" s="175"/>
      <c r="M13" s="175"/>
      <c r="N13" s="175"/>
      <c r="O13" s="175"/>
      <c r="P13" s="175"/>
      <c r="Q13" s="175"/>
      <c r="R13" s="175"/>
      <c r="S13" s="175"/>
      <c r="T13" s="175"/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6"/>
    </row>
    <row r="14" spans="1:31" ht="15" customHeight="1">
      <c r="A14" s="8"/>
      <c r="B14" s="71" t="s">
        <v>340</v>
      </c>
      <c r="C14" s="75">
        <v>13.75</v>
      </c>
      <c r="D14" s="9"/>
      <c r="E14" s="10"/>
      <c r="F14" s="10"/>
      <c r="G14" s="10"/>
      <c r="H14" s="10"/>
      <c r="I14" s="174"/>
      <c r="J14" s="175"/>
      <c r="K14" s="175"/>
      <c r="L14" s="175"/>
      <c r="M14" s="175"/>
      <c r="N14" s="175"/>
      <c r="O14" s="175"/>
      <c r="P14" s="175"/>
      <c r="Q14" s="175"/>
      <c r="R14" s="175"/>
      <c r="S14" s="175"/>
      <c r="T14" s="175"/>
      <c r="U14" s="175"/>
      <c r="V14" s="175"/>
      <c r="W14" s="175"/>
      <c r="X14" s="175"/>
      <c r="Y14" s="175"/>
      <c r="Z14" s="175"/>
      <c r="AA14" s="175"/>
      <c r="AB14" s="175"/>
      <c r="AC14" s="175"/>
      <c r="AD14" s="175"/>
      <c r="AE14" s="176"/>
    </row>
    <row r="15" spans="1:31" ht="15" customHeight="1">
      <c r="A15" s="8"/>
      <c r="B15" s="72" t="s">
        <v>341</v>
      </c>
      <c r="C15" s="76">
        <v>48.75</v>
      </c>
      <c r="D15" s="9"/>
      <c r="E15" s="10"/>
      <c r="F15" s="10"/>
      <c r="G15" s="10"/>
      <c r="H15" s="10"/>
      <c r="I15" s="174"/>
      <c r="J15" s="175"/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  <c r="AD15" s="175"/>
      <c r="AE15" s="176"/>
    </row>
    <row r="16" spans="1:31" ht="15.75" customHeight="1" thickBot="1">
      <c r="A16" s="8"/>
      <c r="B16" s="72" t="s">
        <v>342</v>
      </c>
      <c r="C16" s="76">
        <v>35</v>
      </c>
      <c r="D16" s="9"/>
      <c r="E16" s="10"/>
      <c r="F16" s="10"/>
      <c r="G16" s="10"/>
      <c r="H16" s="10"/>
      <c r="I16" s="177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  <c r="AA16" s="178"/>
      <c r="AB16" s="178"/>
      <c r="AC16" s="178"/>
      <c r="AD16" s="178"/>
      <c r="AE16" s="179"/>
    </row>
    <row r="17" spans="1:35" ht="15.6">
      <c r="A17" s="8"/>
      <c r="B17" s="125" t="s">
        <v>26</v>
      </c>
      <c r="C17" s="126"/>
      <c r="D17" s="9"/>
      <c r="E17" s="10"/>
      <c r="F17" s="10"/>
      <c r="G17" s="10"/>
      <c r="H17" s="10"/>
      <c r="I17" s="10"/>
      <c r="J17" s="10"/>
    </row>
    <row r="18" spans="1:35">
      <c r="A18" s="8"/>
      <c r="B18" s="71" t="s">
        <v>559</v>
      </c>
      <c r="C18" s="66" t="s">
        <v>751</v>
      </c>
      <c r="D18" s="9" t="str">
        <f>IF(C18="i.Mx6Q","Arik",IF(C18="i.Mx6D","Arik","Rigel"))</f>
        <v>Arik</v>
      </c>
      <c r="E18" s="10"/>
      <c r="F18" s="10"/>
      <c r="G18" s="10"/>
      <c r="H18" s="10"/>
      <c r="I18" s="10"/>
      <c r="J18" s="10"/>
    </row>
    <row r="19" spans="1:35">
      <c r="A19" s="8"/>
      <c r="B19" s="71" t="s">
        <v>22</v>
      </c>
      <c r="C19" s="66">
        <v>64</v>
      </c>
      <c r="D19" s="79" t="str">
        <f>IF(C18="i.Mx6S",IF(C19&gt;32,"i.Mx6S doesn't support more than 32bit Memory bus",""),"")</f>
        <v/>
      </c>
      <c r="E19" s="10"/>
      <c r="F19" s="10"/>
      <c r="G19" s="10"/>
      <c r="H19" s="10"/>
      <c r="I19" s="10"/>
      <c r="J19" s="10"/>
    </row>
    <row r="20" spans="1:35">
      <c r="A20" s="8"/>
      <c r="B20" s="73" t="s">
        <v>353</v>
      </c>
      <c r="C20" s="66">
        <v>32</v>
      </c>
      <c r="D20" s="9"/>
      <c r="E20" s="10"/>
      <c r="F20" s="10"/>
      <c r="G20" s="10"/>
      <c r="H20" s="10"/>
      <c r="I20" s="10"/>
      <c r="J20" s="10"/>
    </row>
    <row r="21" spans="1:35">
      <c r="A21" s="8"/>
      <c r="B21" s="71" t="s">
        <v>32</v>
      </c>
      <c r="C21" s="66">
        <v>1</v>
      </c>
      <c r="D21" s="9" t="s">
        <v>550</v>
      </c>
      <c r="E21" s="10"/>
      <c r="F21" s="10"/>
      <c r="G21" s="10"/>
      <c r="H21" s="10"/>
      <c r="I21" s="10"/>
      <c r="J21" s="10"/>
    </row>
    <row r="22" spans="1:35">
      <c r="A22" s="8"/>
      <c r="B22" s="73" t="s">
        <v>549</v>
      </c>
      <c r="C22" s="12">
        <f>C20*C21</f>
        <v>32</v>
      </c>
      <c r="D22" s="9"/>
      <c r="E22" s="10"/>
      <c r="F22" s="10"/>
      <c r="G22" s="10"/>
      <c r="H22" s="10"/>
      <c r="I22" s="10"/>
      <c r="J22" s="10"/>
    </row>
    <row r="23" spans="1:35">
      <c r="A23" s="8"/>
      <c r="B23" s="71" t="s">
        <v>27</v>
      </c>
      <c r="C23" s="66">
        <v>528</v>
      </c>
      <c r="D23" s="79" t="str">
        <f>IF(D18="Rigel",IF(C23&gt;400,"i.Mx6S or i.Mx6DL doesn't support more than 400MHz Memory speed",""),"")</f>
        <v/>
      </c>
      <c r="E23" s="10"/>
      <c r="F23" s="10"/>
      <c r="G23" s="10"/>
      <c r="H23" s="10"/>
      <c r="I23" s="10"/>
      <c r="J23" s="10"/>
    </row>
    <row r="24" spans="1:35">
      <c r="A24" s="8"/>
      <c r="B24" s="71" t="s">
        <v>28</v>
      </c>
      <c r="C24" s="13">
        <f>IF(ROUNDUP((1/C23)*1000,3)&gt;=2000/D5,ROUNDUP(1000/C23,3),"Out of Range")</f>
        <v>1.8939999999999999</v>
      </c>
      <c r="D24" s="9"/>
      <c r="E24" s="10"/>
      <c r="F24" s="10"/>
      <c r="G24" s="10"/>
      <c r="H24" s="10"/>
      <c r="I24" s="10"/>
      <c r="J24" s="10"/>
    </row>
    <row r="25" spans="1:35" ht="15" thickBot="1">
      <c r="A25" s="8"/>
      <c r="B25" s="74" t="s">
        <v>345</v>
      </c>
      <c r="C25" s="69" t="s">
        <v>346</v>
      </c>
      <c r="D25" s="79" t="str">
        <f>IF(C21=1,IF(C25="Enable","This function only can be used for CS1(Two CS use case)",""),"")</f>
        <v/>
      </c>
      <c r="E25" s="10"/>
      <c r="F25" s="10"/>
      <c r="G25" s="10"/>
      <c r="H25" s="10"/>
      <c r="I25" s="10"/>
      <c r="J25" s="10"/>
    </row>
    <row r="26" spans="1:35" ht="15.6">
      <c r="B26" s="125" t="s">
        <v>561</v>
      </c>
      <c r="C26" s="126"/>
    </row>
    <row r="27" spans="1:35" ht="14.4" customHeight="1">
      <c r="B27" s="71" t="s">
        <v>548</v>
      </c>
      <c r="C27" s="69">
        <v>48</v>
      </c>
      <c r="D27" s="14"/>
      <c r="E27" s="7"/>
      <c r="F27" s="7"/>
      <c r="G27" s="7"/>
      <c r="H27" s="7"/>
      <c r="I27" s="162" t="s">
        <v>745</v>
      </c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4"/>
      <c r="AF27" s="7"/>
      <c r="AG27" s="7"/>
      <c r="AH27" s="7"/>
      <c r="AI27" s="7"/>
    </row>
    <row r="28" spans="1:35">
      <c r="B28" s="71" t="s">
        <v>547</v>
      </c>
      <c r="C28" s="69">
        <v>48</v>
      </c>
      <c r="D28" s="14"/>
      <c r="E28" s="7"/>
      <c r="F28" s="7"/>
      <c r="G28" s="7"/>
      <c r="H28" s="7"/>
      <c r="I28" s="165"/>
      <c r="J28" s="166"/>
      <c r="K28" s="166"/>
      <c r="L28" s="166"/>
      <c r="M28" s="166"/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  <c r="AA28" s="166"/>
      <c r="AB28" s="166"/>
      <c r="AC28" s="166"/>
      <c r="AD28" s="166"/>
      <c r="AE28" s="167"/>
      <c r="AF28" s="7"/>
      <c r="AG28" s="7"/>
      <c r="AH28" s="7"/>
      <c r="AI28" s="7"/>
    </row>
    <row r="29" spans="1:35">
      <c r="B29" s="73" t="s">
        <v>545</v>
      </c>
      <c r="C29" s="69">
        <v>48</v>
      </c>
      <c r="D29" s="14"/>
      <c r="E29" s="7"/>
      <c r="F29" s="7"/>
      <c r="G29" s="7"/>
      <c r="H29" s="7"/>
      <c r="I29" s="165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  <c r="AA29" s="166"/>
      <c r="AB29" s="166"/>
      <c r="AC29" s="166"/>
      <c r="AD29" s="166"/>
      <c r="AE29" s="167"/>
      <c r="AF29" s="7"/>
      <c r="AG29" s="7"/>
      <c r="AH29" s="7"/>
      <c r="AI29" s="7"/>
    </row>
    <row r="30" spans="1:35">
      <c r="B30" s="73" t="s">
        <v>546</v>
      </c>
      <c r="C30" s="69">
        <v>48</v>
      </c>
      <c r="D30" s="14"/>
      <c r="E30" s="7"/>
      <c r="F30" s="7"/>
      <c r="G30" s="7"/>
      <c r="H30" s="7"/>
      <c r="I30" s="165"/>
      <c r="J30" s="166"/>
      <c r="K30" s="166"/>
      <c r="L30" s="166"/>
      <c r="M30" s="166"/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  <c r="AA30" s="166"/>
      <c r="AB30" s="166"/>
      <c r="AC30" s="166"/>
      <c r="AD30" s="166"/>
      <c r="AE30" s="167"/>
      <c r="AF30" s="7"/>
      <c r="AG30" s="7"/>
      <c r="AH30" s="7"/>
      <c r="AI30" s="7"/>
    </row>
    <row r="31" spans="1:35">
      <c r="B31" s="73" t="s">
        <v>562</v>
      </c>
      <c r="C31" s="69">
        <v>60</v>
      </c>
      <c r="D31" s="14"/>
      <c r="E31" s="7"/>
      <c r="F31" s="7"/>
      <c r="G31" s="7"/>
      <c r="H31" s="7"/>
      <c r="I31" s="168"/>
      <c r="J31" s="169"/>
      <c r="K31" s="169"/>
      <c r="L31" s="169"/>
      <c r="M31" s="169"/>
      <c r="N31" s="169"/>
      <c r="O31" s="169"/>
      <c r="P31" s="169"/>
      <c r="Q31" s="169"/>
      <c r="R31" s="169"/>
      <c r="S31" s="169"/>
      <c r="T31" s="169"/>
      <c r="U31" s="169"/>
      <c r="V31" s="169"/>
      <c r="W31" s="169"/>
      <c r="X31" s="169"/>
      <c r="Y31" s="169"/>
      <c r="Z31" s="169"/>
      <c r="AA31" s="169"/>
      <c r="AB31" s="169"/>
      <c r="AC31" s="169"/>
      <c r="AD31" s="169"/>
      <c r="AE31" s="170"/>
      <c r="AF31" s="7"/>
      <c r="AG31" s="7"/>
      <c r="AH31" s="7"/>
      <c r="AI31" s="7"/>
    </row>
    <row r="32" spans="1:35">
      <c r="B32" s="15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6" s="22" customFormat="1" ht="15.6" hidden="1">
      <c r="A33" s="16"/>
      <c r="B33" s="17" t="s">
        <v>280</v>
      </c>
      <c r="C33" s="18" t="s">
        <v>6</v>
      </c>
      <c r="D33" s="19">
        <v>31</v>
      </c>
      <c r="E33" s="19">
        <v>30</v>
      </c>
      <c r="F33" s="19">
        <v>29</v>
      </c>
      <c r="G33" s="19">
        <v>28</v>
      </c>
      <c r="H33" s="19">
        <v>27</v>
      </c>
      <c r="I33" s="19">
        <v>26</v>
      </c>
      <c r="J33" s="19">
        <v>25</v>
      </c>
      <c r="K33" s="19">
        <v>24</v>
      </c>
      <c r="L33" s="19">
        <v>23</v>
      </c>
      <c r="M33" s="19">
        <v>22</v>
      </c>
      <c r="N33" s="19">
        <v>21</v>
      </c>
      <c r="O33" s="19">
        <v>20</v>
      </c>
      <c r="P33" s="19">
        <v>19</v>
      </c>
      <c r="Q33" s="19">
        <v>18</v>
      </c>
      <c r="R33" s="19">
        <v>17</v>
      </c>
      <c r="S33" s="19">
        <v>16</v>
      </c>
      <c r="T33" s="19">
        <v>15</v>
      </c>
      <c r="U33" s="19">
        <v>14</v>
      </c>
      <c r="V33" s="19">
        <v>13</v>
      </c>
      <c r="W33" s="19">
        <v>12</v>
      </c>
      <c r="X33" s="19">
        <v>11</v>
      </c>
      <c r="Y33" s="19">
        <v>10</v>
      </c>
      <c r="Z33" s="19">
        <v>9</v>
      </c>
      <c r="AA33" s="19">
        <v>8</v>
      </c>
      <c r="AB33" s="19">
        <v>7</v>
      </c>
      <c r="AC33" s="19">
        <v>6</v>
      </c>
      <c r="AD33" s="19">
        <v>5</v>
      </c>
      <c r="AE33" s="19">
        <v>4</v>
      </c>
      <c r="AF33" s="19">
        <v>3</v>
      </c>
      <c r="AG33" s="19">
        <v>2</v>
      </c>
      <c r="AH33" s="19">
        <v>1</v>
      </c>
      <c r="AI33" s="20">
        <v>0</v>
      </c>
      <c r="AJ33" s="21"/>
    </row>
    <row r="34" spans="1:36" s="22" customFormat="1" ht="15.75" hidden="1" customHeight="1">
      <c r="A34" s="16"/>
      <c r="B34" s="111" t="s">
        <v>33</v>
      </c>
      <c r="C34" s="124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10" t="s">
        <v>5</v>
      </c>
      <c r="Q34" s="110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  <c r="AH34" s="108"/>
      <c r="AI34" s="109"/>
      <c r="AJ34" s="21"/>
    </row>
    <row r="35" spans="1:36" s="22" customFormat="1" ht="15" hidden="1" customHeight="1">
      <c r="A35" s="16"/>
      <c r="B35" s="112"/>
      <c r="C35" s="124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10"/>
      <c r="Q35" s="110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  <c r="AH35" s="108"/>
      <c r="AI35" s="109"/>
      <c r="AJ35" s="21"/>
    </row>
    <row r="36" spans="1:36" s="22" customFormat="1" ht="15" hidden="1" thickBot="1">
      <c r="A36" s="16"/>
      <c r="B36" s="23" t="s">
        <v>4</v>
      </c>
      <c r="C36" s="24" t="str">
        <f>BIN2HEX(D36&amp;E36&amp;F36&amp;G36)&amp;BIN2HEX(H36&amp;I36&amp;J36&amp;K36)&amp;BIN2HEX(L36&amp;M36&amp;N36&amp;O36)&amp;BIN2HEX(P36&amp;Q36&amp;R36&amp;S36)&amp;BIN2HEX(T36&amp;U36&amp;V36&amp;W36)&amp;BIN2HEX(X36&amp;Y36&amp;Z36&amp;AA36)&amp;BIN2HEX(AB36&amp;AC36&amp;AD36&amp;AE36)&amp;BIN2HEX(AF36&amp;AG36&amp;AH36&amp;AI36)</f>
        <v>000C0000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>
        <v>1</v>
      </c>
      <c r="Q36" s="25">
        <v>1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6">
        <v>0</v>
      </c>
      <c r="AJ36" s="21"/>
    </row>
    <row r="37" spans="1:36" ht="15" hidden="1" thickBot="1">
      <c r="B37" s="27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</row>
    <row r="38" spans="1:36" s="22" customFormat="1" ht="15.6" hidden="1">
      <c r="B38" s="17" t="s">
        <v>280</v>
      </c>
      <c r="C38" s="18"/>
      <c r="D38" s="19">
        <v>31</v>
      </c>
      <c r="E38" s="19">
        <v>30</v>
      </c>
      <c r="F38" s="19">
        <v>29</v>
      </c>
      <c r="G38" s="19">
        <v>28</v>
      </c>
      <c r="H38" s="19">
        <v>27</v>
      </c>
      <c r="I38" s="19">
        <v>26</v>
      </c>
      <c r="J38" s="19">
        <v>25</v>
      </c>
      <c r="K38" s="19">
        <v>24</v>
      </c>
      <c r="L38" s="19">
        <v>23</v>
      </c>
      <c r="M38" s="19">
        <v>22</v>
      </c>
      <c r="N38" s="19">
        <v>21</v>
      </c>
      <c r="O38" s="19">
        <v>20</v>
      </c>
      <c r="P38" s="19">
        <v>19</v>
      </c>
      <c r="Q38" s="19">
        <v>18</v>
      </c>
      <c r="R38" s="19">
        <v>17</v>
      </c>
      <c r="S38" s="19">
        <v>16</v>
      </c>
      <c r="T38" s="19">
        <v>15</v>
      </c>
      <c r="U38" s="19">
        <v>14</v>
      </c>
      <c r="V38" s="19">
        <v>13</v>
      </c>
      <c r="W38" s="19">
        <v>12</v>
      </c>
      <c r="X38" s="19">
        <v>11</v>
      </c>
      <c r="Y38" s="19">
        <v>10</v>
      </c>
      <c r="Z38" s="19">
        <v>9</v>
      </c>
      <c r="AA38" s="19">
        <v>8</v>
      </c>
      <c r="AB38" s="19">
        <v>7</v>
      </c>
      <c r="AC38" s="19">
        <v>6</v>
      </c>
      <c r="AD38" s="19">
        <v>5</v>
      </c>
      <c r="AE38" s="19">
        <v>4</v>
      </c>
      <c r="AF38" s="19">
        <v>3</v>
      </c>
      <c r="AG38" s="19">
        <v>2</v>
      </c>
      <c r="AH38" s="19">
        <v>1</v>
      </c>
      <c r="AI38" s="20">
        <v>0</v>
      </c>
      <c r="AJ38" s="21"/>
    </row>
    <row r="39" spans="1:36" s="22" customFormat="1" ht="15.75" hidden="1" customHeight="1">
      <c r="B39" s="111" t="s">
        <v>282</v>
      </c>
      <c r="C39" s="124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10" t="s">
        <v>8</v>
      </c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9"/>
      <c r="AJ39" s="21"/>
    </row>
    <row r="40" spans="1:36" s="22" customFormat="1" ht="15" hidden="1" customHeight="1">
      <c r="B40" s="112"/>
      <c r="C40" s="124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10"/>
      <c r="X40" s="108"/>
      <c r="Y40" s="108"/>
      <c r="Z40" s="108"/>
      <c r="AA40" s="108"/>
      <c r="AB40" s="108"/>
      <c r="AC40" s="108"/>
      <c r="AD40" s="108"/>
      <c r="AE40" s="108"/>
      <c r="AF40" s="108"/>
      <c r="AG40" s="108"/>
      <c r="AH40" s="108"/>
      <c r="AI40" s="109"/>
      <c r="AJ40" s="21"/>
    </row>
    <row r="41" spans="1:36" s="22" customFormat="1" ht="15" hidden="1" thickBot="1">
      <c r="B41" s="23" t="s">
        <v>7</v>
      </c>
      <c r="C41" s="24" t="str">
        <f>BIN2HEX(D41&amp;E41&amp;F41&amp;G41)&amp;BIN2HEX(H41&amp;I41&amp;J41&amp;K41)&amp;BIN2HEX(L41&amp;M41&amp;N41&amp;O41)&amp;BIN2HEX(P41&amp;Q41&amp;R41&amp;S41)&amp;BIN2HEX(T41&amp;U41&amp;V41&amp;W41)&amp;BIN2HEX(X41&amp;Y41&amp;Z41&amp;AA41)&amp;BIN2HEX(AB41&amp;AC41&amp;AD41&amp;AE41)&amp;BIN2HEX(AF41&amp;AG41&amp;AH41&amp;AI41)</f>
        <v>00000000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>
        <v>0</v>
      </c>
      <c r="W41" s="25">
        <v>0</v>
      </c>
      <c r="X41" s="25">
        <v>0</v>
      </c>
      <c r="Y41" s="25">
        <v>0</v>
      </c>
      <c r="Z41" s="25">
        <v>0</v>
      </c>
      <c r="AA41" s="25">
        <v>0</v>
      </c>
      <c r="AB41" s="25">
        <v>0</v>
      </c>
      <c r="AC41" s="25">
        <v>0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6">
        <v>0</v>
      </c>
      <c r="AJ41" s="21"/>
    </row>
    <row r="42" spans="1:36" ht="15" hidden="1" thickBot="1"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</row>
    <row r="43" spans="1:36" s="22" customFormat="1" ht="15.6" hidden="1">
      <c r="B43" s="17" t="s">
        <v>280</v>
      </c>
      <c r="C43" s="18" t="s">
        <v>6</v>
      </c>
      <c r="D43" s="19">
        <v>31</v>
      </c>
      <c r="E43" s="19">
        <v>30</v>
      </c>
      <c r="F43" s="19">
        <v>29</v>
      </c>
      <c r="G43" s="19">
        <v>28</v>
      </c>
      <c r="H43" s="19">
        <v>27</v>
      </c>
      <c r="I43" s="19">
        <v>26</v>
      </c>
      <c r="J43" s="19">
        <v>25</v>
      </c>
      <c r="K43" s="19">
        <v>24</v>
      </c>
      <c r="L43" s="19">
        <v>23</v>
      </c>
      <c r="M43" s="19">
        <v>22</v>
      </c>
      <c r="N43" s="19">
        <v>21</v>
      </c>
      <c r="O43" s="19">
        <v>20</v>
      </c>
      <c r="P43" s="19">
        <v>19</v>
      </c>
      <c r="Q43" s="19">
        <v>18</v>
      </c>
      <c r="R43" s="19">
        <v>17</v>
      </c>
      <c r="S43" s="19">
        <v>16</v>
      </c>
      <c r="T43" s="19">
        <v>15</v>
      </c>
      <c r="U43" s="19">
        <v>14</v>
      </c>
      <c r="V43" s="19">
        <v>13</v>
      </c>
      <c r="W43" s="19">
        <v>12</v>
      </c>
      <c r="X43" s="19">
        <v>11</v>
      </c>
      <c r="Y43" s="19">
        <v>10</v>
      </c>
      <c r="Z43" s="19">
        <v>9</v>
      </c>
      <c r="AA43" s="19">
        <v>8</v>
      </c>
      <c r="AB43" s="19">
        <v>7</v>
      </c>
      <c r="AC43" s="19">
        <v>6</v>
      </c>
      <c r="AD43" s="19">
        <v>5</v>
      </c>
      <c r="AE43" s="19">
        <v>4</v>
      </c>
      <c r="AF43" s="19">
        <v>3</v>
      </c>
      <c r="AG43" s="19">
        <v>2</v>
      </c>
      <c r="AH43" s="19">
        <v>1</v>
      </c>
      <c r="AI43" s="20">
        <v>0</v>
      </c>
      <c r="AJ43" s="21"/>
    </row>
    <row r="44" spans="1:36" s="22" customFormat="1" ht="15.75" hidden="1" customHeight="1">
      <c r="B44" s="111" t="s">
        <v>283</v>
      </c>
      <c r="C44" s="124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19" t="s">
        <v>17</v>
      </c>
      <c r="S44" s="110" t="s">
        <v>18</v>
      </c>
      <c r="T44" s="108"/>
      <c r="U44" s="108"/>
      <c r="V44" s="108"/>
      <c r="W44" s="108"/>
      <c r="X44" s="108"/>
      <c r="Y44" s="110" t="s">
        <v>19</v>
      </c>
      <c r="Z44" s="110"/>
      <c r="AA44" s="110"/>
      <c r="AB44" s="108"/>
      <c r="AC44" s="108"/>
      <c r="AD44" s="110" t="s">
        <v>20</v>
      </c>
      <c r="AE44" s="110"/>
      <c r="AF44" s="110"/>
      <c r="AG44" s="108"/>
      <c r="AH44" s="108"/>
      <c r="AI44" s="109"/>
      <c r="AJ44" s="21"/>
    </row>
    <row r="45" spans="1:36" s="22" customFormat="1" ht="15" hidden="1" customHeight="1">
      <c r="B45" s="112"/>
      <c r="C45" s="124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19"/>
      <c r="S45" s="110"/>
      <c r="T45" s="108"/>
      <c r="U45" s="108"/>
      <c r="V45" s="108"/>
      <c r="W45" s="108"/>
      <c r="X45" s="108"/>
      <c r="Y45" s="110"/>
      <c r="Z45" s="110"/>
      <c r="AA45" s="110"/>
      <c r="AB45" s="108"/>
      <c r="AC45" s="108"/>
      <c r="AD45" s="110"/>
      <c r="AE45" s="110"/>
      <c r="AF45" s="110"/>
      <c r="AG45" s="108"/>
      <c r="AH45" s="108"/>
      <c r="AI45" s="109"/>
      <c r="AJ45" s="21"/>
    </row>
    <row r="46" spans="1:36" s="22" customFormat="1" ht="15" hidden="1" thickBot="1">
      <c r="B46" s="23" t="s">
        <v>16</v>
      </c>
      <c r="C46" s="24" t="str">
        <f>BIN2HEX(D46&amp;E46&amp;F46&amp;G46)&amp;BIN2HEX(H46&amp;I46&amp;J46&amp;K46)&amp;BIN2HEX(L46&amp;M46&amp;N46&amp;O46)&amp;BIN2HEX(P46&amp;Q46&amp;R46&amp;S46)&amp;BIN2HEX(T46&amp;U46&amp;V46&amp;W46)&amp;BIN2HEX(X46&amp;Y46&amp;Z46&amp;AA46)&amp;BIN2HEX(AB46&amp;AC46&amp;AD46&amp;AE46)&amp;BIN2HEX(AF46&amp;AG46&amp;AH46&amp;AI46)</f>
        <v>00000028</v>
      </c>
      <c r="D46" s="25">
        <v>0</v>
      </c>
      <c r="E46" s="25">
        <v>0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0</v>
      </c>
      <c r="X46" s="25">
        <v>0</v>
      </c>
      <c r="Y46" s="25">
        <v>0</v>
      </c>
      <c r="Z46" s="25">
        <v>0</v>
      </c>
      <c r="AA46" s="25">
        <v>0</v>
      </c>
      <c r="AB46" s="25">
        <v>0</v>
      </c>
      <c r="AC46" s="25">
        <v>0</v>
      </c>
      <c r="AD46" s="29">
        <f>MOD(ROUNDDOWN(ROUNDDOWN(240/C29,0)/4,0),2)</f>
        <v>1</v>
      </c>
      <c r="AE46" s="29">
        <f>MOD(ROUNDDOWN(ROUNDDOWN(240/C29,0)/2,0),2)</f>
        <v>0</v>
      </c>
      <c r="AF46" s="29">
        <f>MOD(ROUNDDOWN(240/C29,0),2)</f>
        <v>1</v>
      </c>
      <c r="AG46" s="30">
        <v>0</v>
      </c>
      <c r="AH46" s="30">
        <v>0</v>
      </c>
      <c r="AI46" s="26">
        <v>0</v>
      </c>
      <c r="AJ46" s="21"/>
    </row>
    <row r="47" spans="1:36" ht="15" hidden="1" thickBot="1"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</row>
    <row r="48" spans="1:36" s="22" customFormat="1" ht="15.6" hidden="1">
      <c r="B48" s="17" t="s">
        <v>280</v>
      </c>
      <c r="C48" s="18" t="s">
        <v>6</v>
      </c>
      <c r="D48" s="19">
        <v>31</v>
      </c>
      <c r="E48" s="19">
        <v>30</v>
      </c>
      <c r="F48" s="19">
        <v>29</v>
      </c>
      <c r="G48" s="19">
        <v>28</v>
      </c>
      <c r="H48" s="19">
        <v>27</v>
      </c>
      <c r="I48" s="19">
        <v>26</v>
      </c>
      <c r="J48" s="19">
        <v>25</v>
      </c>
      <c r="K48" s="19">
        <v>24</v>
      </c>
      <c r="L48" s="19">
        <v>23</v>
      </c>
      <c r="M48" s="19">
        <v>22</v>
      </c>
      <c r="N48" s="19">
        <v>21</v>
      </c>
      <c r="O48" s="19">
        <v>20</v>
      </c>
      <c r="P48" s="19">
        <v>19</v>
      </c>
      <c r="Q48" s="19">
        <v>18</v>
      </c>
      <c r="R48" s="19">
        <v>17</v>
      </c>
      <c r="S48" s="19">
        <v>16</v>
      </c>
      <c r="T48" s="19">
        <v>15</v>
      </c>
      <c r="U48" s="19">
        <v>14</v>
      </c>
      <c r="V48" s="19">
        <v>13</v>
      </c>
      <c r="W48" s="19">
        <v>12</v>
      </c>
      <c r="X48" s="19">
        <v>11</v>
      </c>
      <c r="Y48" s="19">
        <v>10</v>
      </c>
      <c r="Z48" s="19">
        <v>9</v>
      </c>
      <c r="AA48" s="19">
        <v>8</v>
      </c>
      <c r="AB48" s="19">
        <v>7</v>
      </c>
      <c r="AC48" s="19">
        <v>6</v>
      </c>
      <c r="AD48" s="19">
        <v>5</v>
      </c>
      <c r="AE48" s="19">
        <v>4</v>
      </c>
      <c r="AF48" s="19">
        <v>3</v>
      </c>
      <c r="AG48" s="19">
        <v>2</v>
      </c>
      <c r="AH48" s="19">
        <v>1</v>
      </c>
      <c r="AI48" s="20">
        <v>0</v>
      </c>
    </row>
    <row r="49" spans="2:35" s="22" customFormat="1" ht="15.75" hidden="1" customHeight="1">
      <c r="B49" s="111" t="s">
        <v>284</v>
      </c>
      <c r="C49" s="124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19" t="s">
        <v>17</v>
      </c>
      <c r="S49" s="110" t="s">
        <v>18</v>
      </c>
      <c r="T49" s="108"/>
      <c r="U49" s="108"/>
      <c r="V49" s="108"/>
      <c r="W49" s="108"/>
      <c r="X49" s="108"/>
      <c r="Y49" s="110" t="s">
        <v>19</v>
      </c>
      <c r="Z49" s="110"/>
      <c r="AA49" s="110"/>
      <c r="AB49" s="108"/>
      <c r="AC49" s="108"/>
      <c r="AD49" s="110" t="s">
        <v>20</v>
      </c>
      <c r="AE49" s="110"/>
      <c r="AF49" s="110"/>
      <c r="AG49" s="108"/>
      <c r="AH49" s="108"/>
      <c r="AI49" s="109"/>
    </row>
    <row r="50" spans="2:35" s="22" customFormat="1" ht="15" hidden="1" customHeight="1">
      <c r="B50" s="112"/>
      <c r="C50" s="124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19"/>
      <c r="S50" s="110"/>
      <c r="T50" s="108"/>
      <c r="U50" s="108"/>
      <c r="V50" s="108"/>
      <c r="W50" s="108"/>
      <c r="X50" s="108"/>
      <c r="Y50" s="110"/>
      <c r="Z50" s="110"/>
      <c r="AA50" s="110"/>
      <c r="AB50" s="108"/>
      <c r="AC50" s="108"/>
      <c r="AD50" s="110"/>
      <c r="AE50" s="110"/>
      <c r="AF50" s="110"/>
      <c r="AG50" s="108"/>
      <c r="AH50" s="108"/>
      <c r="AI50" s="109"/>
    </row>
    <row r="51" spans="2:35" s="22" customFormat="1" ht="15" hidden="1" thickBot="1">
      <c r="B51" s="23" t="s">
        <v>21</v>
      </c>
      <c r="C51" s="24" t="str">
        <f>BIN2HEX(D51&amp;E51&amp;F51&amp;G51)&amp;BIN2HEX(H51&amp;I51&amp;J51&amp;K51)&amp;BIN2HEX(L51&amp;M51&amp;N51&amp;O51)&amp;BIN2HEX(P51&amp;Q51&amp;R51&amp;S51)&amp;BIN2HEX(T51&amp;U51&amp;V51&amp;W51)&amp;BIN2HEX(X51&amp;Y51&amp;Z51&amp;AA51)&amp;BIN2HEX(AB51&amp;AC51&amp;AD51&amp;AE51)&amp;BIN2HEX(AF51&amp;AG51&amp;AH51&amp;AI51)</f>
        <v>00000028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C51" s="25">
        <v>0</v>
      </c>
      <c r="AD51" s="29">
        <f>MOD(ROUNDDOWN(ROUNDDOWN(240/C29,0)/4,0),2)</f>
        <v>1</v>
      </c>
      <c r="AE51" s="29">
        <f>MOD(ROUNDDOWN(ROUNDDOWN(240/C29,0)/2,0),2)</f>
        <v>0</v>
      </c>
      <c r="AF51" s="29">
        <f>MOD(ROUNDDOWN(240/C29,0),2)</f>
        <v>1</v>
      </c>
      <c r="AG51" s="30">
        <v>0</v>
      </c>
      <c r="AH51" s="30">
        <v>0</v>
      </c>
      <c r="AI51" s="26">
        <v>0</v>
      </c>
    </row>
    <row r="52" spans="2:35" ht="15" hidden="1" thickBot="1"/>
    <row r="53" spans="2:35" s="22" customFormat="1" ht="15.6" hidden="1">
      <c r="B53" s="17" t="s">
        <v>280</v>
      </c>
      <c r="C53" s="18" t="s">
        <v>6</v>
      </c>
      <c r="D53" s="19">
        <v>31</v>
      </c>
      <c r="E53" s="19">
        <v>30</v>
      </c>
      <c r="F53" s="19">
        <v>29</v>
      </c>
      <c r="G53" s="19">
        <v>28</v>
      </c>
      <c r="H53" s="19">
        <v>27</v>
      </c>
      <c r="I53" s="19">
        <v>26</v>
      </c>
      <c r="J53" s="19">
        <v>25</v>
      </c>
      <c r="K53" s="19">
        <v>24</v>
      </c>
      <c r="L53" s="19">
        <v>23</v>
      </c>
      <c r="M53" s="19">
        <v>22</v>
      </c>
      <c r="N53" s="19">
        <v>21</v>
      </c>
      <c r="O53" s="19">
        <v>20</v>
      </c>
      <c r="P53" s="19">
        <v>19</v>
      </c>
      <c r="Q53" s="19">
        <v>18</v>
      </c>
      <c r="R53" s="19">
        <v>17</v>
      </c>
      <c r="S53" s="19">
        <v>16</v>
      </c>
      <c r="T53" s="19">
        <v>15</v>
      </c>
      <c r="U53" s="19">
        <v>14</v>
      </c>
      <c r="V53" s="19">
        <v>13</v>
      </c>
      <c r="W53" s="19">
        <v>12</v>
      </c>
      <c r="X53" s="19">
        <v>11</v>
      </c>
      <c r="Y53" s="19">
        <v>10</v>
      </c>
      <c r="Z53" s="19">
        <v>9</v>
      </c>
      <c r="AA53" s="19">
        <v>8</v>
      </c>
      <c r="AB53" s="19">
        <v>7</v>
      </c>
      <c r="AC53" s="19">
        <v>6</v>
      </c>
      <c r="AD53" s="19">
        <v>5</v>
      </c>
      <c r="AE53" s="19">
        <v>4</v>
      </c>
      <c r="AF53" s="19">
        <v>3</v>
      </c>
      <c r="AG53" s="19">
        <v>2</v>
      </c>
      <c r="AH53" s="19">
        <v>1</v>
      </c>
      <c r="AI53" s="20">
        <v>0</v>
      </c>
    </row>
    <row r="54" spans="2:35" s="22" customFormat="1" ht="15.75" hidden="1" customHeight="1">
      <c r="B54" s="111" t="s">
        <v>285</v>
      </c>
      <c r="C54" s="124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19" t="s">
        <v>17</v>
      </c>
      <c r="S54" s="110" t="s">
        <v>18</v>
      </c>
      <c r="T54" s="108"/>
      <c r="U54" s="108"/>
      <c r="V54" s="108"/>
      <c r="W54" s="108"/>
      <c r="X54" s="108"/>
      <c r="Y54" s="110" t="s">
        <v>19</v>
      </c>
      <c r="Z54" s="110"/>
      <c r="AA54" s="110"/>
      <c r="AB54" s="108"/>
      <c r="AC54" s="108"/>
      <c r="AD54" s="110" t="s">
        <v>20</v>
      </c>
      <c r="AE54" s="110"/>
      <c r="AF54" s="110"/>
      <c r="AG54" s="108"/>
      <c r="AH54" s="108"/>
      <c r="AI54" s="109"/>
    </row>
    <row r="55" spans="2:35" s="22" customFormat="1" ht="15" hidden="1" customHeight="1">
      <c r="B55" s="112"/>
      <c r="C55" s="124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19"/>
      <c r="S55" s="110"/>
      <c r="T55" s="108"/>
      <c r="U55" s="108"/>
      <c r="V55" s="108"/>
      <c r="W55" s="108"/>
      <c r="X55" s="108"/>
      <c r="Y55" s="110"/>
      <c r="Z55" s="110"/>
      <c r="AA55" s="110"/>
      <c r="AB55" s="108"/>
      <c r="AC55" s="108"/>
      <c r="AD55" s="110"/>
      <c r="AE55" s="110"/>
      <c r="AF55" s="110"/>
      <c r="AG55" s="108"/>
      <c r="AH55" s="108"/>
      <c r="AI55" s="109"/>
    </row>
    <row r="56" spans="2:35" s="22" customFormat="1" ht="15" hidden="1" thickBot="1">
      <c r="B56" s="23" t="s">
        <v>34</v>
      </c>
      <c r="C56" s="24" t="str">
        <f>BIN2HEX(D56&amp;E56&amp;F56&amp;G56)&amp;BIN2HEX(H56&amp;I56&amp;J56&amp;K56)&amp;BIN2HEX(L56&amp;M56&amp;N56&amp;O56)&amp;BIN2HEX(P56&amp;Q56&amp;R56&amp;S56)&amp;BIN2HEX(T56&amp;U56&amp;V56&amp;W56)&amp;BIN2HEX(X56&amp;Y56&amp;Z56&amp;AA56)&amp;BIN2HEX(AB56&amp;AC56&amp;AD56&amp;AE56)&amp;BIN2HEX(AF56&amp;AG56&amp;AH56&amp;AI56)</f>
        <v>00000028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29">
        <f>MOD(ROUNDDOWN(ROUNDDOWN(240/C28,0)/4,0),2)</f>
        <v>1</v>
      </c>
      <c r="AE56" s="29">
        <f>MOD(ROUNDDOWN(ROUNDDOWN(240/C28,0)/2,0),2)</f>
        <v>0</v>
      </c>
      <c r="AF56" s="29">
        <f>MOD(ROUNDDOWN(240/C28,0),2)</f>
        <v>1</v>
      </c>
      <c r="AG56" s="30">
        <v>0</v>
      </c>
      <c r="AH56" s="30">
        <v>0</v>
      </c>
      <c r="AI56" s="26">
        <v>0</v>
      </c>
    </row>
    <row r="57" spans="2:35" ht="15" hidden="1" thickBot="1"/>
    <row r="58" spans="2:35" s="22" customFormat="1" ht="15.6" hidden="1">
      <c r="B58" s="17" t="s">
        <v>280</v>
      </c>
      <c r="C58" s="18" t="s">
        <v>6</v>
      </c>
      <c r="D58" s="19">
        <v>31</v>
      </c>
      <c r="E58" s="19">
        <v>30</v>
      </c>
      <c r="F58" s="19">
        <v>29</v>
      </c>
      <c r="G58" s="19">
        <v>28</v>
      </c>
      <c r="H58" s="19">
        <v>27</v>
      </c>
      <c r="I58" s="19">
        <v>26</v>
      </c>
      <c r="J58" s="19">
        <v>25</v>
      </c>
      <c r="K58" s="19">
        <v>24</v>
      </c>
      <c r="L58" s="19">
        <v>23</v>
      </c>
      <c r="M58" s="19">
        <v>22</v>
      </c>
      <c r="N58" s="19">
        <v>21</v>
      </c>
      <c r="O58" s="19">
        <v>20</v>
      </c>
      <c r="P58" s="19">
        <v>19</v>
      </c>
      <c r="Q58" s="19">
        <v>18</v>
      </c>
      <c r="R58" s="19">
        <v>17</v>
      </c>
      <c r="S58" s="19">
        <v>16</v>
      </c>
      <c r="T58" s="19">
        <v>15</v>
      </c>
      <c r="U58" s="19">
        <v>14</v>
      </c>
      <c r="V58" s="19">
        <v>13</v>
      </c>
      <c r="W58" s="19">
        <v>12</v>
      </c>
      <c r="X58" s="19">
        <v>11</v>
      </c>
      <c r="Y58" s="19">
        <v>10</v>
      </c>
      <c r="Z58" s="19">
        <v>9</v>
      </c>
      <c r="AA58" s="19">
        <v>8</v>
      </c>
      <c r="AB58" s="19">
        <v>7</v>
      </c>
      <c r="AC58" s="19">
        <v>6</v>
      </c>
      <c r="AD58" s="19">
        <v>5</v>
      </c>
      <c r="AE58" s="19">
        <v>4</v>
      </c>
      <c r="AF58" s="19">
        <v>3</v>
      </c>
      <c r="AG58" s="19">
        <v>2</v>
      </c>
      <c r="AH58" s="19">
        <v>1</v>
      </c>
      <c r="AI58" s="20">
        <v>0</v>
      </c>
    </row>
    <row r="59" spans="2:35" s="22" customFormat="1" ht="15.75" hidden="1" customHeight="1">
      <c r="B59" s="111" t="s">
        <v>286</v>
      </c>
      <c r="C59" s="124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19" t="s">
        <v>17</v>
      </c>
      <c r="S59" s="110" t="s">
        <v>18</v>
      </c>
      <c r="T59" s="108"/>
      <c r="U59" s="108"/>
      <c r="V59" s="108"/>
      <c r="W59" s="108"/>
      <c r="X59" s="108"/>
      <c r="Y59" s="110" t="s">
        <v>19</v>
      </c>
      <c r="Z59" s="110"/>
      <c r="AA59" s="110"/>
      <c r="AB59" s="108"/>
      <c r="AC59" s="108"/>
      <c r="AD59" s="110" t="s">
        <v>20</v>
      </c>
      <c r="AE59" s="110"/>
      <c r="AF59" s="110"/>
      <c r="AG59" s="108"/>
      <c r="AH59" s="108"/>
      <c r="AI59" s="109"/>
    </row>
    <row r="60" spans="2:35" s="22" customFormat="1" ht="15" hidden="1" customHeight="1">
      <c r="B60" s="112"/>
      <c r="C60" s="124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19"/>
      <c r="S60" s="110"/>
      <c r="T60" s="108"/>
      <c r="U60" s="108"/>
      <c r="V60" s="108"/>
      <c r="W60" s="108"/>
      <c r="X60" s="108"/>
      <c r="Y60" s="110"/>
      <c r="Z60" s="110"/>
      <c r="AA60" s="110"/>
      <c r="AB60" s="108"/>
      <c r="AC60" s="108"/>
      <c r="AD60" s="110"/>
      <c r="AE60" s="110"/>
      <c r="AF60" s="110"/>
      <c r="AG60" s="108"/>
      <c r="AH60" s="108"/>
      <c r="AI60" s="109"/>
    </row>
    <row r="61" spans="2:35" s="22" customFormat="1" ht="15" hidden="1" thickBot="1">
      <c r="B61" s="23" t="s">
        <v>35</v>
      </c>
      <c r="C61" s="24" t="str">
        <f>BIN2HEX(D61&amp;E61&amp;F61&amp;G61)&amp;BIN2HEX(H61&amp;I61&amp;J61&amp;K61)&amp;BIN2HEX(L61&amp;M61&amp;N61&amp;O61)&amp;BIN2HEX(P61&amp;Q61&amp;R61&amp;S61)&amp;BIN2HEX(T61&amp;U61&amp;V61&amp;W61)&amp;BIN2HEX(X61&amp;Y61&amp;Z61&amp;AA61)&amp;BIN2HEX(AB61&amp;AC61&amp;AD61&amp;AE61)&amp;BIN2HEX(AF61&amp;AG61&amp;AH61&amp;AI61)</f>
        <v>00000028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25">
        <v>0</v>
      </c>
      <c r="AD61" s="29">
        <f>MOD(ROUNDDOWN(ROUNDDOWN(240/C28,0)/4,0),2)</f>
        <v>1</v>
      </c>
      <c r="AE61" s="29">
        <f>MOD(ROUNDDOWN(ROUNDDOWN(240/C28,0)/2,0),2)</f>
        <v>0</v>
      </c>
      <c r="AF61" s="29">
        <f>MOD(ROUNDDOWN(240/C28,0),2)</f>
        <v>1</v>
      </c>
      <c r="AG61" s="25">
        <v>0</v>
      </c>
      <c r="AH61" s="25">
        <v>0</v>
      </c>
      <c r="AI61" s="26">
        <v>0</v>
      </c>
    </row>
    <row r="62" spans="2:35" ht="15" hidden="1" thickBot="1"/>
    <row r="63" spans="2:35" s="22" customFormat="1" ht="15.6" hidden="1">
      <c r="B63" s="17" t="s">
        <v>280</v>
      </c>
      <c r="C63" s="18" t="s">
        <v>6</v>
      </c>
      <c r="D63" s="19">
        <v>31</v>
      </c>
      <c r="E63" s="19">
        <v>30</v>
      </c>
      <c r="F63" s="19">
        <v>29</v>
      </c>
      <c r="G63" s="19">
        <v>28</v>
      </c>
      <c r="H63" s="19">
        <v>27</v>
      </c>
      <c r="I63" s="19">
        <v>26</v>
      </c>
      <c r="J63" s="19">
        <v>25</v>
      </c>
      <c r="K63" s="19">
        <v>24</v>
      </c>
      <c r="L63" s="19">
        <v>23</v>
      </c>
      <c r="M63" s="19">
        <v>22</v>
      </c>
      <c r="N63" s="19">
        <v>21</v>
      </c>
      <c r="O63" s="19">
        <v>20</v>
      </c>
      <c r="P63" s="19">
        <v>19</v>
      </c>
      <c r="Q63" s="19">
        <v>18</v>
      </c>
      <c r="R63" s="19">
        <v>17</v>
      </c>
      <c r="S63" s="19">
        <v>16</v>
      </c>
      <c r="T63" s="19">
        <v>15</v>
      </c>
      <c r="U63" s="19">
        <v>14</v>
      </c>
      <c r="V63" s="19">
        <v>13</v>
      </c>
      <c r="W63" s="19">
        <v>12</v>
      </c>
      <c r="X63" s="19">
        <v>11</v>
      </c>
      <c r="Y63" s="19">
        <v>10</v>
      </c>
      <c r="Z63" s="19">
        <v>9</v>
      </c>
      <c r="AA63" s="19">
        <v>8</v>
      </c>
      <c r="AB63" s="19">
        <v>7</v>
      </c>
      <c r="AC63" s="19">
        <v>6</v>
      </c>
      <c r="AD63" s="19">
        <v>5</v>
      </c>
      <c r="AE63" s="19">
        <v>4</v>
      </c>
      <c r="AF63" s="19">
        <v>3</v>
      </c>
      <c r="AG63" s="19">
        <v>2</v>
      </c>
      <c r="AH63" s="19">
        <v>1</v>
      </c>
      <c r="AI63" s="20">
        <v>0</v>
      </c>
    </row>
    <row r="64" spans="2:35" s="22" customFormat="1" ht="15.75" hidden="1" customHeight="1">
      <c r="B64" s="111" t="s">
        <v>287</v>
      </c>
      <c r="C64" s="124"/>
      <c r="D64" s="127"/>
      <c r="E64" s="128"/>
      <c r="F64" s="128"/>
      <c r="G64" s="128"/>
      <c r="H64" s="128"/>
      <c r="I64" s="128"/>
      <c r="J64" s="128"/>
      <c r="K64" s="128"/>
      <c r="L64" s="128"/>
      <c r="M64" s="128"/>
      <c r="N64" s="128"/>
      <c r="O64" s="128"/>
      <c r="P64" s="128"/>
      <c r="Q64" s="128"/>
      <c r="R64" s="128"/>
      <c r="S64" s="128"/>
      <c r="T64" s="128"/>
      <c r="U64" s="128"/>
      <c r="V64" s="128"/>
      <c r="W64" s="128"/>
      <c r="X64" s="128"/>
      <c r="Y64" s="128"/>
      <c r="Z64" s="128"/>
      <c r="AA64" s="128"/>
      <c r="AB64" s="128"/>
      <c r="AC64" s="129"/>
      <c r="AD64" s="110" t="s">
        <v>20</v>
      </c>
      <c r="AE64" s="110"/>
      <c r="AF64" s="110"/>
      <c r="AG64" s="108"/>
      <c r="AH64" s="108"/>
      <c r="AI64" s="109"/>
    </row>
    <row r="65" spans="2:35" s="22" customFormat="1" ht="15" hidden="1" customHeight="1">
      <c r="B65" s="112"/>
      <c r="C65" s="124"/>
      <c r="D65" s="130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  <c r="T65" s="131"/>
      <c r="U65" s="131"/>
      <c r="V65" s="131"/>
      <c r="W65" s="131"/>
      <c r="X65" s="131"/>
      <c r="Y65" s="131"/>
      <c r="Z65" s="131"/>
      <c r="AA65" s="131"/>
      <c r="AB65" s="131"/>
      <c r="AC65" s="132"/>
      <c r="AD65" s="110"/>
      <c r="AE65" s="110"/>
      <c r="AF65" s="110"/>
      <c r="AG65" s="108"/>
      <c r="AH65" s="108"/>
      <c r="AI65" s="109"/>
    </row>
    <row r="66" spans="2:35" s="22" customFormat="1" ht="15" hidden="1" thickBot="1">
      <c r="B66" s="23" t="s">
        <v>36</v>
      </c>
      <c r="C66" s="24" t="str">
        <f>BIN2HEX(D66&amp;E66&amp;F66&amp;G66)&amp;BIN2HEX(H66&amp;I66&amp;J66&amp;K66)&amp;BIN2HEX(L66&amp;M66&amp;N66&amp;O66)&amp;BIN2HEX(P66&amp;Q66&amp;R66&amp;S66)&amp;BIN2HEX(T66&amp;U66&amp;V66&amp;W66)&amp;BIN2HEX(X66&amp;Y66&amp;Z66&amp;AA66)&amp;BIN2HEX(AB66&amp;AC66&amp;AD66&amp;AE66)&amp;BIN2HEX(AF66&amp;AG66&amp;AH66&amp;AI66)</f>
        <v>00000028</v>
      </c>
      <c r="D66" s="25">
        <v>0</v>
      </c>
      <c r="E66" s="25">
        <v>0</v>
      </c>
      <c r="F66" s="25">
        <v>0</v>
      </c>
      <c r="G66" s="25">
        <v>0</v>
      </c>
      <c r="H66" s="25">
        <v>0</v>
      </c>
      <c r="I66" s="25">
        <v>0</v>
      </c>
      <c r="J66" s="25">
        <v>0</v>
      </c>
      <c r="K66" s="25">
        <v>0</v>
      </c>
      <c r="L66" s="25">
        <v>0</v>
      </c>
      <c r="M66" s="25">
        <v>0</v>
      </c>
      <c r="N66" s="25">
        <v>0</v>
      </c>
      <c r="O66" s="25">
        <v>0</v>
      </c>
      <c r="P66" s="25">
        <v>0</v>
      </c>
      <c r="Q66" s="25">
        <v>0</v>
      </c>
      <c r="R66" s="25">
        <v>0</v>
      </c>
      <c r="S66" s="25">
        <v>0</v>
      </c>
      <c r="T66" s="25">
        <v>0</v>
      </c>
      <c r="U66" s="25">
        <v>0</v>
      </c>
      <c r="V66" s="25">
        <v>0</v>
      </c>
      <c r="W66" s="25">
        <v>0</v>
      </c>
      <c r="X66" s="25">
        <v>0</v>
      </c>
      <c r="Y66" s="25">
        <v>0</v>
      </c>
      <c r="Z66" s="25">
        <v>0</v>
      </c>
      <c r="AA66" s="25">
        <v>0</v>
      </c>
      <c r="AB66" s="25">
        <v>0</v>
      </c>
      <c r="AC66" s="25">
        <v>0</v>
      </c>
      <c r="AD66" s="29">
        <f>MOD(ROUNDDOWN(ROUNDDOWN(240/C28,0)/4,0),2)</f>
        <v>1</v>
      </c>
      <c r="AE66" s="29">
        <f>MOD(ROUNDDOWN(ROUNDDOWN(240/C28,0)/2,0),2)</f>
        <v>0</v>
      </c>
      <c r="AF66" s="29">
        <f>MOD(ROUNDDOWN(240/C28,0),2)</f>
        <v>1</v>
      </c>
      <c r="AG66" s="25">
        <v>0</v>
      </c>
      <c r="AH66" s="25">
        <v>0</v>
      </c>
      <c r="AI66" s="26">
        <v>0</v>
      </c>
    </row>
    <row r="67" spans="2:35" ht="15" hidden="1" thickBot="1"/>
    <row r="68" spans="2:35" s="22" customFormat="1" ht="15.6" hidden="1">
      <c r="B68" s="17" t="s">
        <v>280</v>
      </c>
      <c r="C68" s="18" t="s">
        <v>6</v>
      </c>
      <c r="D68" s="19">
        <v>31</v>
      </c>
      <c r="E68" s="19">
        <v>30</v>
      </c>
      <c r="F68" s="19">
        <v>29</v>
      </c>
      <c r="G68" s="19">
        <v>28</v>
      </c>
      <c r="H68" s="19">
        <v>27</v>
      </c>
      <c r="I68" s="19">
        <v>26</v>
      </c>
      <c r="J68" s="19">
        <v>25</v>
      </c>
      <c r="K68" s="19">
        <v>24</v>
      </c>
      <c r="L68" s="19">
        <v>23</v>
      </c>
      <c r="M68" s="19">
        <v>22</v>
      </c>
      <c r="N68" s="19">
        <v>21</v>
      </c>
      <c r="O68" s="19">
        <v>20</v>
      </c>
      <c r="P68" s="19">
        <v>19</v>
      </c>
      <c r="Q68" s="19">
        <v>18</v>
      </c>
      <c r="R68" s="19">
        <v>17</v>
      </c>
      <c r="S68" s="19">
        <v>16</v>
      </c>
      <c r="T68" s="19">
        <v>15</v>
      </c>
      <c r="U68" s="19">
        <v>14</v>
      </c>
      <c r="V68" s="19">
        <v>13</v>
      </c>
      <c r="W68" s="19">
        <v>12</v>
      </c>
      <c r="X68" s="19">
        <v>11</v>
      </c>
      <c r="Y68" s="19">
        <v>10</v>
      </c>
      <c r="Z68" s="19">
        <v>9</v>
      </c>
      <c r="AA68" s="19">
        <v>8</v>
      </c>
      <c r="AB68" s="19">
        <v>7</v>
      </c>
      <c r="AC68" s="19">
        <v>6</v>
      </c>
      <c r="AD68" s="19">
        <v>5</v>
      </c>
      <c r="AE68" s="19">
        <v>4</v>
      </c>
      <c r="AF68" s="19">
        <v>3</v>
      </c>
      <c r="AG68" s="19">
        <v>2</v>
      </c>
      <c r="AH68" s="19">
        <v>1</v>
      </c>
      <c r="AI68" s="20">
        <v>0</v>
      </c>
    </row>
    <row r="69" spans="2:35" s="22" customFormat="1" ht="15.75" hidden="1" customHeight="1">
      <c r="B69" s="111" t="s">
        <v>288</v>
      </c>
      <c r="C69" s="124"/>
      <c r="D69" s="122"/>
      <c r="E69" s="122"/>
      <c r="F69" s="122"/>
      <c r="G69" s="122"/>
      <c r="H69" s="122"/>
      <c r="I69" s="122"/>
      <c r="J69" s="122"/>
      <c r="K69" s="122"/>
      <c r="L69" s="122"/>
      <c r="M69" s="122"/>
      <c r="N69" s="122"/>
      <c r="O69" s="122"/>
      <c r="P69" s="120" t="s">
        <v>5</v>
      </c>
      <c r="Q69" s="120"/>
      <c r="R69" s="119" t="s">
        <v>17</v>
      </c>
      <c r="S69" s="110" t="s">
        <v>18</v>
      </c>
      <c r="T69" s="120" t="s">
        <v>38</v>
      </c>
      <c r="U69" s="120"/>
      <c r="V69" s="120" t="s">
        <v>39</v>
      </c>
      <c r="W69" s="120" t="s">
        <v>8</v>
      </c>
      <c r="X69" s="122"/>
      <c r="Y69" s="110" t="s">
        <v>19</v>
      </c>
      <c r="Z69" s="110"/>
      <c r="AA69" s="110"/>
      <c r="AB69" s="108"/>
      <c r="AC69" s="108"/>
      <c r="AD69" s="110" t="s">
        <v>20</v>
      </c>
      <c r="AE69" s="110"/>
      <c r="AF69" s="110"/>
      <c r="AG69" s="108"/>
      <c r="AH69" s="108"/>
      <c r="AI69" s="109"/>
    </row>
    <row r="70" spans="2:35" s="22" customFormat="1" ht="15" hidden="1" customHeight="1">
      <c r="B70" s="112"/>
      <c r="C70" s="124"/>
      <c r="D70" s="123"/>
      <c r="E70" s="123"/>
      <c r="F70" s="123"/>
      <c r="G70" s="123"/>
      <c r="H70" s="123"/>
      <c r="I70" s="123"/>
      <c r="J70" s="123"/>
      <c r="K70" s="123"/>
      <c r="L70" s="123"/>
      <c r="M70" s="123"/>
      <c r="N70" s="123"/>
      <c r="O70" s="123"/>
      <c r="P70" s="121"/>
      <c r="Q70" s="121"/>
      <c r="R70" s="119"/>
      <c r="S70" s="110"/>
      <c r="T70" s="121"/>
      <c r="U70" s="121"/>
      <c r="V70" s="121"/>
      <c r="W70" s="121"/>
      <c r="X70" s="123"/>
      <c r="Y70" s="110"/>
      <c r="Z70" s="110"/>
      <c r="AA70" s="110"/>
      <c r="AB70" s="108"/>
      <c r="AC70" s="108"/>
      <c r="AD70" s="110"/>
      <c r="AE70" s="110"/>
      <c r="AF70" s="110"/>
      <c r="AG70" s="108"/>
      <c r="AH70" s="108"/>
      <c r="AI70" s="109"/>
    </row>
    <row r="71" spans="2:35" s="22" customFormat="1" ht="15" hidden="1" thickBot="1">
      <c r="B71" s="23" t="s">
        <v>37</v>
      </c>
      <c r="C71" s="24" t="str">
        <f>BIN2HEX(D71&amp;E71&amp;F71&amp;G71)&amp;BIN2HEX(H71&amp;I71&amp;J71&amp;K71)&amp;BIN2HEX(L71&amp;M71&amp;N71&amp;O71)&amp;BIN2HEX(P71&amp;Q71&amp;R71&amp;S71)&amp;BIN2HEX(T71&amp;U71&amp;V71&amp;W71)&amp;BIN2HEX(X71&amp;Y71&amp;Z71&amp;AA71)&amp;BIN2HEX(AB71&amp;AC71&amp;AD71&amp;AE71)&amp;BIN2HEX(AF71&amp;AG71&amp;AH71&amp;AI71)</f>
        <v>00000028</v>
      </c>
      <c r="D71" s="25">
        <v>0</v>
      </c>
      <c r="E71" s="25">
        <v>0</v>
      </c>
      <c r="F71" s="25">
        <v>0</v>
      </c>
      <c r="G71" s="25">
        <v>0</v>
      </c>
      <c r="H71" s="25">
        <v>0</v>
      </c>
      <c r="I71" s="25">
        <v>0</v>
      </c>
      <c r="J71" s="25">
        <v>0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5">
        <v>0</v>
      </c>
      <c r="Q71" s="25">
        <v>0</v>
      </c>
      <c r="R71" s="25">
        <v>0</v>
      </c>
      <c r="S71" s="25">
        <v>0</v>
      </c>
      <c r="T71" s="25">
        <v>0</v>
      </c>
      <c r="U71" s="25">
        <v>0</v>
      </c>
      <c r="V71" s="25">
        <v>0</v>
      </c>
      <c r="W71" s="25">
        <v>0</v>
      </c>
      <c r="X71" s="25">
        <v>0</v>
      </c>
      <c r="Y71" s="25">
        <v>0</v>
      </c>
      <c r="Z71" s="25">
        <v>0</v>
      </c>
      <c r="AA71" s="25">
        <v>0</v>
      </c>
      <c r="AB71" s="25">
        <v>0</v>
      </c>
      <c r="AC71" s="25">
        <v>0</v>
      </c>
      <c r="AD71" s="29">
        <f>MOD(ROUNDDOWN(ROUNDDOWN(240/C28,0)/4,0),2)</f>
        <v>1</v>
      </c>
      <c r="AE71" s="29">
        <f>MOD(ROUNDDOWN(ROUNDDOWN(240/C28,0)/2,0),2)</f>
        <v>0</v>
      </c>
      <c r="AF71" s="29">
        <f>MOD(ROUNDDOWN(240/C28,0),2)</f>
        <v>1</v>
      </c>
      <c r="AG71" s="25">
        <v>0</v>
      </c>
      <c r="AH71" s="25">
        <v>0</v>
      </c>
      <c r="AI71" s="26">
        <v>0</v>
      </c>
    </row>
    <row r="72" spans="2:35" ht="15" hidden="1" thickBot="1"/>
    <row r="73" spans="2:35" s="22" customFormat="1" ht="15.6" hidden="1">
      <c r="B73" s="17" t="s">
        <v>280</v>
      </c>
      <c r="C73" s="18" t="s">
        <v>6</v>
      </c>
      <c r="D73" s="19">
        <v>31</v>
      </c>
      <c r="E73" s="19">
        <v>30</v>
      </c>
      <c r="F73" s="19">
        <v>29</v>
      </c>
      <c r="G73" s="19">
        <v>28</v>
      </c>
      <c r="H73" s="19">
        <v>27</v>
      </c>
      <c r="I73" s="19">
        <v>26</v>
      </c>
      <c r="J73" s="19">
        <v>25</v>
      </c>
      <c r="K73" s="19">
        <v>24</v>
      </c>
      <c r="L73" s="19">
        <v>23</v>
      </c>
      <c r="M73" s="19">
        <v>22</v>
      </c>
      <c r="N73" s="19">
        <v>21</v>
      </c>
      <c r="O73" s="19">
        <v>20</v>
      </c>
      <c r="P73" s="19">
        <v>19</v>
      </c>
      <c r="Q73" s="19">
        <v>18</v>
      </c>
      <c r="R73" s="19">
        <v>17</v>
      </c>
      <c r="S73" s="19">
        <v>16</v>
      </c>
      <c r="T73" s="19">
        <v>15</v>
      </c>
      <c r="U73" s="19">
        <v>14</v>
      </c>
      <c r="V73" s="19">
        <v>13</v>
      </c>
      <c r="W73" s="19">
        <v>12</v>
      </c>
      <c r="X73" s="19">
        <v>11</v>
      </c>
      <c r="Y73" s="19">
        <v>10</v>
      </c>
      <c r="Z73" s="19">
        <v>9</v>
      </c>
      <c r="AA73" s="19">
        <v>8</v>
      </c>
      <c r="AB73" s="19">
        <v>7</v>
      </c>
      <c r="AC73" s="19">
        <v>6</v>
      </c>
      <c r="AD73" s="19">
        <v>5</v>
      </c>
      <c r="AE73" s="19">
        <v>4</v>
      </c>
      <c r="AF73" s="19">
        <v>3</v>
      </c>
      <c r="AG73" s="19">
        <v>2</v>
      </c>
      <c r="AH73" s="19">
        <v>1</v>
      </c>
      <c r="AI73" s="20">
        <v>0</v>
      </c>
    </row>
    <row r="74" spans="2:35" s="22" customFormat="1" ht="15.75" hidden="1" customHeight="1">
      <c r="B74" s="111" t="s">
        <v>289</v>
      </c>
      <c r="C74" s="124"/>
      <c r="D74" s="113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5"/>
      <c r="R74" s="119" t="s">
        <v>17</v>
      </c>
      <c r="S74" s="110" t="s">
        <v>18</v>
      </c>
      <c r="T74" s="122"/>
      <c r="U74" s="122"/>
      <c r="V74" s="120" t="s">
        <v>39</v>
      </c>
      <c r="W74" s="120" t="s">
        <v>8</v>
      </c>
      <c r="X74" s="122"/>
      <c r="Y74" s="110" t="s">
        <v>19</v>
      </c>
      <c r="Z74" s="110"/>
      <c r="AA74" s="110"/>
      <c r="AB74" s="108"/>
      <c r="AC74" s="108"/>
      <c r="AD74" s="108"/>
      <c r="AE74" s="108"/>
      <c r="AF74" s="108"/>
      <c r="AG74" s="108"/>
      <c r="AH74" s="108"/>
      <c r="AI74" s="109"/>
    </row>
    <row r="75" spans="2:35" s="22" customFormat="1" ht="15" hidden="1" customHeight="1">
      <c r="B75" s="112"/>
      <c r="C75" s="124"/>
      <c r="D75" s="116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8"/>
      <c r="R75" s="119"/>
      <c r="S75" s="110"/>
      <c r="T75" s="123"/>
      <c r="U75" s="123"/>
      <c r="V75" s="121"/>
      <c r="W75" s="121"/>
      <c r="X75" s="123"/>
      <c r="Y75" s="110"/>
      <c r="Z75" s="110"/>
      <c r="AA75" s="110"/>
      <c r="AB75" s="108"/>
      <c r="AC75" s="108"/>
      <c r="AD75" s="108"/>
      <c r="AE75" s="108"/>
      <c r="AF75" s="108"/>
      <c r="AG75" s="108"/>
      <c r="AH75" s="108"/>
      <c r="AI75" s="109"/>
    </row>
    <row r="76" spans="2:35" s="22" customFormat="1" ht="15" hidden="1" thickBot="1">
      <c r="B76" s="23" t="s">
        <v>40</v>
      </c>
      <c r="C76" s="24" t="str">
        <f>BIN2HEX(D76&amp;E76&amp;F76&amp;G76)&amp;BIN2HEX(H76&amp;I76&amp;J76&amp;K76)&amp;BIN2HEX(L76&amp;M76&amp;N76&amp;O76)&amp;BIN2HEX(P76&amp;Q76&amp;R76&amp;S76)&amp;BIN2HEX(T76&amp;U76&amp;V76&amp;W76)&amp;BIN2HEX(X76&amp;Y76&amp;Z76&amp;AA76)&amp;BIN2HEX(AB76&amp;AC76&amp;AD76&amp;AE76)&amp;BIN2HEX(AF76&amp;AG76&amp;AH76&amp;AI76)</f>
        <v>00000000</v>
      </c>
      <c r="D76" s="25">
        <v>0</v>
      </c>
      <c r="E76" s="25">
        <v>0</v>
      </c>
      <c r="F76" s="25">
        <v>0</v>
      </c>
      <c r="G76" s="25">
        <v>0</v>
      </c>
      <c r="H76" s="25">
        <v>0</v>
      </c>
      <c r="I76" s="25">
        <v>0</v>
      </c>
      <c r="J76" s="25">
        <v>0</v>
      </c>
      <c r="K76" s="25">
        <v>0</v>
      </c>
      <c r="L76" s="25">
        <v>0</v>
      </c>
      <c r="M76" s="25">
        <v>0</v>
      </c>
      <c r="N76" s="25">
        <v>0</v>
      </c>
      <c r="O76" s="25">
        <v>0</v>
      </c>
      <c r="P76" s="25">
        <v>0</v>
      </c>
      <c r="Q76" s="25">
        <v>0</v>
      </c>
      <c r="R76" s="25">
        <v>0</v>
      </c>
      <c r="S76" s="25">
        <v>0</v>
      </c>
      <c r="T76" s="25">
        <v>0</v>
      </c>
      <c r="U76" s="25">
        <v>0</v>
      </c>
      <c r="V76" s="25">
        <v>0</v>
      </c>
      <c r="W76" s="25">
        <v>0</v>
      </c>
      <c r="X76" s="25">
        <v>0</v>
      </c>
      <c r="Y76" s="25">
        <v>0</v>
      </c>
      <c r="Z76" s="25">
        <v>0</v>
      </c>
      <c r="AA76" s="25">
        <v>0</v>
      </c>
      <c r="AB76" s="25">
        <v>0</v>
      </c>
      <c r="AC76" s="25">
        <v>0</v>
      </c>
      <c r="AD76" s="25">
        <v>0</v>
      </c>
      <c r="AE76" s="25">
        <v>0</v>
      </c>
      <c r="AF76" s="25">
        <v>0</v>
      </c>
      <c r="AG76" s="25">
        <v>0</v>
      </c>
      <c r="AH76" s="25">
        <v>0</v>
      </c>
      <c r="AI76" s="26">
        <v>0</v>
      </c>
    </row>
    <row r="77" spans="2:35" ht="15" hidden="1" thickBot="1"/>
    <row r="78" spans="2:35" s="22" customFormat="1" ht="15.6" hidden="1">
      <c r="B78" s="17" t="s">
        <v>280</v>
      </c>
      <c r="C78" s="18" t="s">
        <v>6</v>
      </c>
      <c r="D78" s="19">
        <v>31</v>
      </c>
      <c r="E78" s="19">
        <v>30</v>
      </c>
      <c r="F78" s="19">
        <v>29</v>
      </c>
      <c r="G78" s="19">
        <v>28</v>
      </c>
      <c r="H78" s="19">
        <v>27</v>
      </c>
      <c r="I78" s="19">
        <v>26</v>
      </c>
      <c r="J78" s="19">
        <v>25</v>
      </c>
      <c r="K78" s="19">
        <v>24</v>
      </c>
      <c r="L78" s="19">
        <v>23</v>
      </c>
      <c r="M78" s="19">
        <v>22</v>
      </c>
      <c r="N78" s="19">
        <v>21</v>
      </c>
      <c r="O78" s="19">
        <v>20</v>
      </c>
      <c r="P78" s="19">
        <v>19</v>
      </c>
      <c r="Q78" s="19">
        <v>18</v>
      </c>
      <c r="R78" s="19">
        <v>17</v>
      </c>
      <c r="S78" s="19">
        <v>16</v>
      </c>
      <c r="T78" s="19">
        <v>15</v>
      </c>
      <c r="U78" s="19">
        <v>14</v>
      </c>
      <c r="V78" s="19">
        <v>13</v>
      </c>
      <c r="W78" s="19">
        <v>12</v>
      </c>
      <c r="X78" s="19">
        <v>11</v>
      </c>
      <c r="Y78" s="19">
        <v>10</v>
      </c>
      <c r="Z78" s="19">
        <v>9</v>
      </c>
      <c r="AA78" s="19">
        <v>8</v>
      </c>
      <c r="AB78" s="19">
        <v>7</v>
      </c>
      <c r="AC78" s="19">
        <v>6</v>
      </c>
      <c r="AD78" s="19">
        <v>5</v>
      </c>
      <c r="AE78" s="19">
        <v>4</v>
      </c>
      <c r="AF78" s="19">
        <v>3</v>
      </c>
      <c r="AG78" s="19">
        <v>2</v>
      </c>
      <c r="AH78" s="19">
        <v>1</v>
      </c>
      <c r="AI78" s="20">
        <v>0</v>
      </c>
    </row>
    <row r="79" spans="2:35" s="22" customFormat="1" ht="15.75" hidden="1" customHeight="1">
      <c r="B79" s="111" t="s">
        <v>290</v>
      </c>
      <c r="C79" s="124"/>
      <c r="D79" s="113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5"/>
      <c r="R79" s="119" t="s">
        <v>17</v>
      </c>
      <c r="S79" s="110" t="s">
        <v>18</v>
      </c>
      <c r="T79" s="120" t="s">
        <v>38</v>
      </c>
      <c r="U79" s="120"/>
      <c r="V79" s="120" t="s">
        <v>39</v>
      </c>
      <c r="W79" s="120" t="s">
        <v>8</v>
      </c>
      <c r="X79" s="122"/>
      <c r="Y79" s="110" t="s">
        <v>19</v>
      </c>
      <c r="Z79" s="110"/>
      <c r="AA79" s="110"/>
      <c r="AB79" s="108"/>
      <c r="AC79" s="108"/>
      <c r="AD79" s="110" t="s">
        <v>20</v>
      </c>
      <c r="AE79" s="110"/>
      <c r="AF79" s="110"/>
      <c r="AG79" s="108"/>
      <c r="AH79" s="108"/>
      <c r="AI79" s="109"/>
    </row>
    <row r="80" spans="2:35" s="22" customFormat="1" ht="15" hidden="1" customHeight="1">
      <c r="B80" s="112"/>
      <c r="C80" s="124"/>
      <c r="D80" s="116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8"/>
      <c r="R80" s="119"/>
      <c r="S80" s="110"/>
      <c r="T80" s="121"/>
      <c r="U80" s="121"/>
      <c r="V80" s="121"/>
      <c r="W80" s="121"/>
      <c r="X80" s="123"/>
      <c r="Y80" s="110"/>
      <c r="Z80" s="110"/>
      <c r="AA80" s="110"/>
      <c r="AB80" s="108"/>
      <c r="AC80" s="108"/>
      <c r="AD80" s="110"/>
      <c r="AE80" s="110"/>
      <c r="AF80" s="110"/>
      <c r="AG80" s="108"/>
      <c r="AH80" s="108"/>
      <c r="AI80" s="109"/>
    </row>
    <row r="81" spans="2:35" s="22" customFormat="1" ht="15" hidden="1" thickBot="1">
      <c r="B81" s="23" t="s">
        <v>41</v>
      </c>
      <c r="C81" s="24" t="str">
        <f>BIN2HEX(D81&amp;E81&amp;F81&amp;G81)&amp;BIN2HEX(H81&amp;I81&amp;J81&amp;K81)&amp;BIN2HEX(L81&amp;M81&amp;N81&amp;O81)&amp;BIN2HEX(P81&amp;Q81&amp;R81&amp;S81)&amp;BIN2HEX(T81&amp;U81&amp;V81&amp;W81)&amp;BIN2HEX(X81&amp;Y81&amp;Z81&amp;AA81)&amp;BIN2HEX(AB81&amp;AC81&amp;AD81&amp;AE81)&amp;BIN2HEX(AF81&amp;AG81&amp;AH81&amp;AI81)</f>
        <v>00000028</v>
      </c>
      <c r="D81" s="25">
        <v>0</v>
      </c>
      <c r="E81" s="25">
        <v>0</v>
      </c>
      <c r="F81" s="25">
        <v>0</v>
      </c>
      <c r="G81" s="25">
        <v>0</v>
      </c>
      <c r="H81" s="25">
        <v>0</v>
      </c>
      <c r="I81" s="25">
        <v>0</v>
      </c>
      <c r="J81" s="25">
        <v>0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25">
        <v>0</v>
      </c>
      <c r="Q81" s="25">
        <v>0</v>
      </c>
      <c r="R81" s="25">
        <v>0</v>
      </c>
      <c r="S81" s="25">
        <v>0</v>
      </c>
      <c r="T81" s="25">
        <v>0</v>
      </c>
      <c r="U81" s="25">
        <v>0</v>
      </c>
      <c r="V81" s="25">
        <v>0</v>
      </c>
      <c r="W81" s="25">
        <v>0</v>
      </c>
      <c r="X81" s="25">
        <v>0</v>
      </c>
      <c r="Y81" s="25">
        <v>0</v>
      </c>
      <c r="Z81" s="25">
        <v>0</v>
      </c>
      <c r="AA81" s="25">
        <v>0</v>
      </c>
      <c r="AB81" s="25">
        <v>0</v>
      </c>
      <c r="AC81" s="25">
        <v>0</v>
      </c>
      <c r="AD81" s="29">
        <f>MOD(ROUNDDOWN(ROUNDDOWN(240/C28,0)/4,0),2)</f>
        <v>1</v>
      </c>
      <c r="AE81" s="29">
        <f>MOD(ROUNDDOWN(ROUNDDOWN(240/C28,0)/2,0),2)</f>
        <v>0</v>
      </c>
      <c r="AF81" s="29">
        <f>MOD(ROUNDDOWN(240/C28,0),2)</f>
        <v>1</v>
      </c>
      <c r="AG81" s="25">
        <v>0</v>
      </c>
      <c r="AH81" s="25">
        <v>0</v>
      </c>
      <c r="AI81" s="26">
        <v>0</v>
      </c>
    </row>
    <row r="82" spans="2:35" ht="15" hidden="1" thickBot="1"/>
    <row r="83" spans="2:35" s="22" customFormat="1" ht="15.6" hidden="1">
      <c r="B83" s="17" t="s">
        <v>280</v>
      </c>
      <c r="C83" s="18" t="s">
        <v>6</v>
      </c>
      <c r="D83" s="19">
        <v>31</v>
      </c>
      <c r="E83" s="19">
        <v>30</v>
      </c>
      <c r="F83" s="19">
        <v>29</v>
      </c>
      <c r="G83" s="19">
        <v>28</v>
      </c>
      <c r="H83" s="19">
        <v>27</v>
      </c>
      <c r="I83" s="19">
        <v>26</v>
      </c>
      <c r="J83" s="19">
        <v>25</v>
      </c>
      <c r="K83" s="19">
        <v>24</v>
      </c>
      <c r="L83" s="19">
        <v>23</v>
      </c>
      <c r="M83" s="19">
        <v>22</v>
      </c>
      <c r="N83" s="19">
        <v>21</v>
      </c>
      <c r="O83" s="19">
        <v>20</v>
      </c>
      <c r="P83" s="19">
        <v>19</v>
      </c>
      <c r="Q83" s="19">
        <v>18</v>
      </c>
      <c r="R83" s="19">
        <v>17</v>
      </c>
      <c r="S83" s="19">
        <v>16</v>
      </c>
      <c r="T83" s="19">
        <v>15</v>
      </c>
      <c r="U83" s="19">
        <v>14</v>
      </c>
      <c r="V83" s="19">
        <v>13</v>
      </c>
      <c r="W83" s="19">
        <v>12</v>
      </c>
      <c r="X83" s="19">
        <v>11</v>
      </c>
      <c r="Y83" s="19">
        <v>10</v>
      </c>
      <c r="Z83" s="19">
        <v>9</v>
      </c>
      <c r="AA83" s="19">
        <v>8</v>
      </c>
      <c r="AB83" s="19">
        <v>7</v>
      </c>
      <c r="AC83" s="19">
        <v>6</v>
      </c>
      <c r="AD83" s="19">
        <v>5</v>
      </c>
      <c r="AE83" s="19">
        <v>4</v>
      </c>
      <c r="AF83" s="19">
        <v>3</v>
      </c>
      <c r="AG83" s="19">
        <v>2</v>
      </c>
      <c r="AH83" s="19">
        <v>1</v>
      </c>
      <c r="AI83" s="20">
        <v>0</v>
      </c>
    </row>
    <row r="84" spans="2:35" s="22" customFormat="1" ht="15.75" hidden="1" customHeight="1">
      <c r="B84" s="111" t="s">
        <v>291</v>
      </c>
      <c r="C84" s="124"/>
      <c r="D84" s="113"/>
      <c r="E84" s="114"/>
      <c r="F84" s="114"/>
      <c r="G84" s="114"/>
      <c r="H84" s="114"/>
      <c r="I84" s="114"/>
      <c r="J84" s="114"/>
      <c r="K84" s="114"/>
      <c r="L84" s="114"/>
      <c r="M84" s="114"/>
      <c r="N84" s="114"/>
      <c r="O84" s="114"/>
      <c r="P84" s="114"/>
      <c r="Q84" s="115"/>
      <c r="R84" s="119" t="s">
        <v>17</v>
      </c>
      <c r="S84" s="110" t="s">
        <v>18</v>
      </c>
      <c r="T84" s="120" t="s">
        <v>38</v>
      </c>
      <c r="U84" s="120"/>
      <c r="V84" s="120" t="s">
        <v>39</v>
      </c>
      <c r="W84" s="120" t="s">
        <v>8</v>
      </c>
      <c r="X84" s="122"/>
      <c r="Y84" s="110" t="s">
        <v>19</v>
      </c>
      <c r="Z84" s="110"/>
      <c r="AA84" s="110"/>
      <c r="AB84" s="108"/>
      <c r="AC84" s="108"/>
      <c r="AD84" s="110" t="s">
        <v>20</v>
      </c>
      <c r="AE84" s="110"/>
      <c r="AF84" s="110"/>
      <c r="AG84" s="108"/>
      <c r="AH84" s="108"/>
      <c r="AI84" s="109"/>
    </row>
    <row r="85" spans="2:35" s="22" customFormat="1" ht="15" hidden="1" customHeight="1">
      <c r="B85" s="112"/>
      <c r="C85" s="124"/>
      <c r="D85" s="116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8"/>
      <c r="R85" s="119"/>
      <c r="S85" s="110"/>
      <c r="T85" s="121"/>
      <c r="U85" s="121"/>
      <c r="V85" s="121"/>
      <c r="W85" s="121"/>
      <c r="X85" s="123"/>
      <c r="Y85" s="110"/>
      <c r="Z85" s="110"/>
      <c r="AA85" s="110"/>
      <c r="AB85" s="108"/>
      <c r="AC85" s="108"/>
      <c r="AD85" s="110"/>
      <c r="AE85" s="110"/>
      <c r="AF85" s="110"/>
      <c r="AG85" s="108"/>
      <c r="AH85" s="108"/>
      <c r="AI85" s="109"/>
    </row>
    <row r="86" spans="2:35" s="22" customFormat="1" ht="15" hidden="1" thickBot="1">
      <c r="B86" s="23" t="s">
        <v>42</v>
      </c>
      <c r="C86" s="24" t="str">
        <f>BIN2HEX(D86&amp;E86&amp;F86&amp;G86)&amp;BIN2HEX(H86&amp;I86&amp;J86&amp;K86)&amp;BIN2HEX(L86&amp;M86&amp;N86&amp;O86)&amp;BIN2HEX(P86&amp;Q86&amp;R86&amp;S86)&amp;BIN2HEX(T86&amp;U86&amp;V86&amp;W86)&amp;BIN2HEX(X86&amp;Y86&amp;Z86&amp;AA86)&amp;BIN2HEX(AB86&amp;AC86&amp;AD86&amp;AE86)&amp;BIN2HEX(AF86&amp;AG86&amp;AH86&amp;AI86)</f>
        <v>00000028</v>
      </c>
      <c r="D86" s="25">
        <v>0</v>
      </c>
      <c r="E86" s="25">
        <v>0</v>
      </c>
      <c r="F86" s="25">
        <v>0</v>
      </c>
      <c r="G86" s="25">
        <v>0</v>
      </c>
      <c r="H86" s="25">
        <v>0</v>
      </c>
      <c r="I86" s="25">
        <v>0</v>
      </c>
      <c r="J86" s="25"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5">
        <v>0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25">
        <v>0</v>
      </c>
      <c r="W86" s="25">
        <v>0</v>
      </c>
      <c r="X86" s="25">
        <v>0</v>
      </c>
      <c r="Y86" s="25">
        <v>0</v>
      </c>
      <c r="Z86" s="25">
        <v>0</v>
      </c>
      <c r="AA86" s="25">
        <v>0</v>
      </c>
      <c r="AB86" s="25">
        <v>0</v>
      </c>
      <c r="AC86" s="25">
        <v>0</v>
      </c>
      <c r="AD86" s="29">
        <f>MOD(ROUNDDOWN(ROUNDDOWN(240/C28,0)/4,0),2)</f>
        <v>1</v>
      </c>
      <c r="AE86" s="29">
        <f>MOD(ROUNDDOWN(ROUNDDOWN(240/C28,0)/2,0),2)</f>
        <v>0</v>
      </c>
      <c r="AF86" s="29">
        <f>MOD(ROUNDDOWN(240/C28,0),2)</f>
        <v>1</v>
      </c>
      <c r="AG86" s="25">
        <v>0</v>
      </c>
      <c r="AH86" s="25">
        <v>0</v>
      </c>
      <c r="AI86" s="26">
        <v>0</v>
      </c>
    </row>
    <row r="87" spans="2:35" ht="15" hidden="1" thickBot="1"/>
    <row r="88" spans="2:35" s="22" customFormat="1" ht="15.6" hidden="1">
      <c r="B88" s="17" t="s">
        <v>292</v>
      </c>
      <c r="C88" s="18" t="s">
        <v>6</v>
      </c>
      <c r="D88" s="19">
        <v>31</v>
      </c>
      <c r="E88" s="19">
        <v>30</v>
      </c>
      <c r="F88" s="19">
        <v>29</v>
      </c>
      <c r="G88" s="19">
        <v>28</v>
      </c>
      <c r="H88" s="19">
        <v>27</v>
      </c>
      <c r="I88" s="19">
        <v>26</v>
      </c>
      <c r="J88" s="19">
        <v>25</v>
      </c>
      <c r="K88" s="19">
        <v>24</v>
      </c>
      <c r="L88" s="19">
        <v>23</v>
      </c>
      <c r="M88" s="19">
        <v>22</v>
      </c>
      <c r="N88" s="19">
        <v>21</v>
      </c>
      <c r="O88" s="19">
        <v>20</v>
      </c>
      <c r="P88" s="19">
        <v>19</v>
      </c>
      <c r="Q88" s="19">
        <v>18</v>
      </c>
      <c r="R88" s="19">
        <v>17</v>
      </c>
      <c r="S88" s="19">
        <v>16</v>
      </c>
      <c r="T88" s="19">
        <v>15</v>
      </c>
      <c r="U88" s="19">
        <v>14</v>
      </c>
      <c r="V88" s="19">
        <v>13</v>
      </c>
      <c r="W88" s="19">
        <v>12</v>
      </c>
      <c r="X88" s="19">
        <v>11</v>
      </c>
      <c r="Y88" s="19">
        <v>10</v>
      </c>
      <c r="Z88" s="19">
        <v>9</v>
      </c>
      <c r="AA88" s="19">
        <v>8</v>
      </c>
      <c r="AB88" s="19">
        <v>7</v>
      </c>
      <c r="AC88" s="19">
        <v>6</v>
      </c>
      <c r="AD88" s="19">
        <v>5</v>
      </c>
      <c r="AE88" s="19">
        <v>4</v>
      </c>
      <c r="AF88" s="19">
        <v>3</v>
      </c>
      <c r="AG88" s="19">
        <v>2</v>
      </c>
      <c r="AH88" s="19">
        <v>1</v>
      </c>
      <c r="AI88" s="20">
        <v>0</v>
      </c>
    </row>
    <row r="89" spans="2:35" s="22" customFormat="1" ht="15.75" hidden="1" customHeight="1">
      <c r="B89" s="111" t="s">
        <v>293</v>
      </c>
      <c r="C89" s="124"/>
      <c r="D89" s="127"/>
      <c r="E89" s="128"/>
      <c r="F89" s="128"/>
      <c r="G89" s="128"/>
      <c r="H89" s="128"/>
      <c r="I89" s="128"/>
      <c r="J89" s="128"/>
      <c r="K89" s="128"/>
      <c r="L89" s="128"/>
      <c r="M89" s="128"/>
      <c r="N89" s="128"/>
      <c r="O89" s="128"/>
      <c r="P89" s="12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9"/>
      <c r="AD89" s="110" t="s">
        <v>20</v>
      </c>
      <c r="AE89" s="110"/>
      <c r="AF89" s="110"/>
      <c r="AG89" s="108"/>
      <c r="AH89" s="108"/>
      <c r="AI89" s="109"/>
    </row>
    <row r="90" spans="2:35" s="22" customFormat="1" ht="15" hidden="1" customHeight="1">
      <c r="B90" s="112"/>
      <c r="C90" s="124"/>
      <c r="D90" s="130"/>
      <c r="E90" s="131"/>
      <c r="F90" s="131"/>
      <c r="G90" s="131"/>
      <c r="H90" s="131"/>
      <c r="I90" s="131"/>
      <c r="J90" s="131"/>
      <c r="K90" s="131"/>
      <c r="L90" s="131"/>
      <c r="M90" s="131"/>
      <c r="N90" s="131"/>
      <c r="O90" s="131"/>
      <c r="P90" s="131"/>
      <c r="Q90" s="131"/>
      <c r="R90" s="131"/>
      <c r="S90" s="131"/>
      <c r="T90" s="131"/>
      <c r="U90" s="131"/>
      <c r="V90" s="131"/>
      <c r="W90" s="131"/>
      <c r="X90" s="131"/>
      <c r="Y90" s="131"/>
      <c r="Z90" s="131"/>
      <c r="AA90" s="131"/>
      <c r="AB90" s="131"/>
      <c r="AC90" s="132"/>
      <c r="AD90" s="110"/>
      <c r="AE90" s="110"/>
      <c r="AF90" s="110"/>
      <c r="AG90" s="108"/>
      <c r="AH90" s="108"/>
      <c r="AI90" s="109"/>
    </row>
    <row r="91" spans="2:35" s="22" customFormat="1" ht="15" hidden="1" thickBot="1">
      <c r="B91" s="23" t="s">
        <v>43</v>
      </c>
      <c r="C91" s="24" t="str">
        <f>BIN2HEX(D91&amp;E91&amp;F91&amp;G91)&amp;BIN2HEX(H91&amp;I91&amp;J91&amp;K91)&amp;BIN2HEX(L91&amp;M91&amp;N91&amp;O91)&amp;BIN2HEX(P91&amp;Q91&amp;R91&amp;S91)&amp;BIN2HEX(T91&amp;U91&amp;V91&amp;W91)&amp;BIN2HEX(X91&amp;Y91&amp;Z91&amp;AA91)&amp;BIN2HEX(AB91&amp;AC91&amp;AD91&amp;AE91)&amp;BIN2HEX(AF91&amp;AG91&amp;AH91&amp;AI91)</f>
        <v>00000028</v>
      </c>
      <c r="D91" s="25">
        <v>0</v>
      </c>
      <c r="E91" s="25">
        <v>0</v>
      </c>
      <c r="F91" s="25">
        <v>0</v>
      </c>
      <c r="G91" s="25">
        <v>0</v>
      </c>
      <c r="H91" s="25">
        <v>0</v>
      </c>
      <c r="I91" s="25">
        <v>0</v>
      </c>
      <c r="J91" s="25">
        <v>0</v>
      </c>
      <c r="K91" s="25">
        <v>0</v>
      </c>
      <c r="L91" s="25">
        <v>0</v>
      </c>
      <c r="M91" s="25">
        <v>0</v>
      </c>
      <c r="N91" s="25">
        <v>0</v>
      </c>
      <c r="O91" s="25">
        <v>0</v>
      </c>
      <c r="P91" s="25">
        <v>0</v>
      </c>
      <c r="Q91" s="25">
        <v>0</v>
      </c>
      <c r="R91" s="25">
        <v>0</v>
      </c>
      <c r="S91" s="25">
        <v>0</v>
      </c>
      <c r="T91" s="25">
        <v>0</v>
      </c>
      <c r="U91" s="25">
        <v>0</v>
      </c>
      <c r="V91" s="25">
        <v>0</v>
      </c>
      <c r="W91" s="25">
        <v>0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5">
        <v>0</v>
      </c>
      <c r="AD91" s="29">
        <f>MOD(ROUNDDOWN(ROUNDDOWN(240/C28,0)/4,0),2)</f>
        <v>1</v>
      </c>
      <c r="AE91" s="29">
        <f>MOD(ROUNDDOWN(ROUNDDOWN(240/C28,0)/2,0),2)</f>
        <v>0</v>
      </c>
      <c r="AF91" s="29">
        <f>MOD(ROUNDDOWN(240/C28,0),2)</f>
        <v>1</v>
      </c>
      <c r="AG91" s="25">
        <v>0</v>
      </c>
      <c r="AH91" s="25">
        <v>0</v>
      </c>
      <c r="AI91" s="26">
        <v>0</v>
      </c>
    </row>
    <row r="92" spans="2:35" ht="15" hidden="1" thickBot="1"/>
    <row r="93" spans="2:35" s="22" customFormat="1" ht="15.6" hidden="1">
      <c r="B93" s="17" t="s">
        <v>280</v>
      </c>
      <c r="C93" s="18" t="s">
        <v>6</v>
      </c>
      <c r="D93" s="19">
        <v>31</v>
      </c>
      <c r="E93" s="19">
        <v>30</v>
      </c>
      <c r="F93" s="19">
        <v>29</v>
      </c>
      <c r="G93" s="19">
        <v>28</v>
      </c>
      <c r="H93" s="19">
        <v>27</v>
      </c>
      <c r="I93" s="19">
        <v>26</v>
      </c>
      <c r="J93" s="19">
        <v>25</v>
      </c>
      <c r="K93" s="19">
        <v>24</v>
      </c>
      <c r="L93" s="19">
        <v>23</v>
      </c>
      <c r="M93" s="19">
        <v>22</v>
      </c>
      <c r="N93" s="19">
        <v>21</v>
      </c>
      <c r="O93" s="19">
        <v>20</v>
      </c>
      <c r="P93" s="19">
        <v>19</v>
      </c>
      <c r="Q93" s="19">
        <v>18</v>
      </c>
      <c r="R93" s="19">
        <v>17</v>
      </c>
      <c r="S93" s="19">
        <v>16</v>
      </c>
      <c r="T93" s="19">
        <v>15</v>
      </c>
      <c r="U93" s="19">
        <v>14</v>
      </c>
      <c r="V93" s="19">
        <v>13</v>
      </c>
      <c r="W93" s="19">
        <v>12</v>
      </c>
      <c r="X93" s="19">
        <v>11</v>
      </c>
      <c r="Y93" s="19">
        <v>10</v>
      </c>
      <c r="Z93" s="19">
        <v>9</v>
      </c>
      <c r="AA93" s="19">
        <v>8</v>
      </c>
      <c r="AB93" s="19">
        <v>7</v>
      </c>
      <c r="AC93" s="19">
        <v>6</v>
      </c>
      <c r="AD93" s="19">
        <v>5</v>
      </c>
      <c r="AE93" s="19">
        <v>4</v>
      </c>
      <c r="AF93" s="19">
        <v>3</v>
      </c>
      <c r="AG93" s="19">
        <v>2</v>
      </c>
      <c r="AH93" s="19">
        <v>1</v>
      </c>
      <c r="AI93" s="20">
        <v>0</v>
      </c>
    </row>
    <row r="94" spans="2:35" s="22" customFormat="1" ht="15.75" hidden="1" customHeight="1">
      <c r="B94" s="111" t="s">
        <v>294</v>
      </c>
      <c r="C94" s="124"/>
      <c r="D94" s="113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5"/>
      <c r="R94" s="119" t="s">
        <v>17</v>
      </c>
      <c r="S94" s="113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33"/>
    </row>
    <row r="95" spans="2:35" s="22" customFormat="1" ht="15" hidden="1" customHeight="1">
      <c r="B95" s="112"/>
      <c r="C95" s="124"/>
      <c r="D95" s="116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8"/>
      <c r="R95" s="119"/>
      <c r="S95" s="116"/>
      <c r="T95" s="117"/>
      <c r="U95" s="117"/>
      <c r="V95" s="117"/>
      <c r="W95" s="117"/>
      <c r="X95" s="117"/>
      <c r="Y95" s="117"/>
      <c r="Z95" s="117"/>
      <c r="AA95" s="117"/>
      <c r="AB95" s="117"/>
      <c r="AC95" s="117"/>
      <c r="AD95" s="117"/>
      <c r="AE95" s="117"/>
      <c r="AF95" s="117"/>
      <c r="AG95" s="117"/>
      <c r="AH95" s="117"/>
      <c r="AI95" s="134"/>
    </row>
    <row r="96" spans="2:35" s="22" customFormat="1" ht="15" hidden="1" thickBot="1">
      <c r="B96" s="23" t="s">
        <v>44</v>
      </c>
      <c r="C96" s="24" t="str">
        <f>BIN2HEX(D96&amp;E96&amp;F96&amp;G96)&amp;BIN2HEX(H96&amp;I96&amp;J96&amp;K96)&amp;BIN2HEX(L96&amp;M96&amp;N96&amp;O96)&amp;BIN2HEX(P96&amp;Q96&amp;R96&amp;S96)&amp;BIN2HEX(T96&amp;U96&amp;V96&amp;W96)&amp;BIN2HEX(X96&amp;Y96&amp;Z96&amp;AA96)&amp;BIN2HEX(AB96&amp;AC96&amp;AD96&amp;AE96)&amp;BIN2HEX(AF96&amp;AG96&amp;AH96&amp;AI96)</f>
        <v>00020000</v>
      </c>
      <c r="D96" s="25">
        <v>0</v>
      </c>
      <c r="E96" s="25">
        <v>0</v>
      </c>
      <c r="F96" s="25">
        <v>0</v>
      </c>
      <c r="G96" s="25">
        <v>0</v>
      </c>
      <c r="H96" s="25">
        <v>0</v>
      </c>
      <c r="I96" s="25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25">
        <v>0</v>
      </c>
      <c r="Q96" s="25">
        <v>0</v>
      </c>
      <c r="R96" s="25">
        <v>1</v>
      </c>
      <c r="S96" s="25">
        <v>0</v>
      </c>
      <c r="T96" s="25">
        <v>0</v>
      </c>
      <c r="U96" s="25">
        <v>0</v>
      </c>
      <c r="V96" s="25">
        <v>0</v>
      </c>
      <c r="W96" s="25">
        <v>0</v>
      </c>
      <c r="X96" s="25">
        <v>0</v>
      </c>
      <c r="Y96" s="25">
        <v>0</v>
      </c>
      <c r="Z96" s="25">
        <v>0</v>
      </c>
      <c r="AA96" s="25">
        <v>0</v>
      </c>
      <c r="AB96" s="25">
        <v>0</v>
      </c>
      <c r="AC96" s="25">
        <v>0</v>
      </c>
      <c r="AD96" s="25">
        <v>0</v>
      </c>
      <c r="AE96" s="25">
        <v>0</v>
      </c>
      <c r="AF96" s="25">
        <v>0</v>
      </c>
      <c r="AG96" s="25">
        <v>0</v>
      </c>
      <c r="AH96" s="25">
        <v>0</v>
      </c>
      <c r="AI96" s="26">
        <v>0</v>
      </c>
    </row>
    <row r="97" spans="2:35" ht="15" hidden="1" thickBot="1"/>
    <row r="98" spans="2:35" s="22" customFormat="1" ht="15.6" hidden="1">
      <c r="B98" s="17" t="s">
        <v>280</v>
      </c>
      <c r="C98" s="18" t="s">
        <v>6</v>
      </c>
      <c r="D98" s="19">
        <v>31</v>
      </c>
      <c r="E98" s="19">
        <v>30</v>
      </c>
      <c r="F98" s="19">
        <v>29</v>
      </c>
      <c r="G98" s="19">
        <v>28</v>
      </c>
      <c r="H98" s="19">
        <v>27</v>
      </c>
      <c r="I98" s="19">
        <v>26</v>
      </c>
      <c r="J98" s="19">
        <v>25</v>
      </c>
      <c r="K98" s="19">
        <v>24</v>
      </c>
      <c r="L98" s="19">
        <v>23</v>
      </c>
      <c r="M98" s="19">
        <v>22</v>
      </c>
      <c r="N98" s="19">
        <v>21</v>
      </c>
      <c r="O98" s="19">
        <v>20</v>
      </c>
      <c r="P98" s="19">
        <v>19</v>
      </c>
      <c r="Q98" s="19">
        <v>18</v>
      </c>
      <c r="R98" s="19">
        <v>17</v>
      </c>
      <c r="S98" s="19">
        <v>16</v>
      </c>
      <c r="T98" s="19">
        <v>15</v>
      </c>
      <c r="U98" s="19">
        <v>14</v>
      </c>
      <c r="V98" s="19">
        <v>13</v>
      </c>
      <c r="W98" s="19">
        <v>12</v>
      </c>
      <c r="X98" s="19">
        <v>11</v>
      </c>
      <c r="Y98" s="19">
        <v>10</v>
      </c>
      <c r="Z98" s="19">
        <v>9</v>
      </c>
      <c r="AA98" s="19">
        <v>8</v>
      </c>
      <c r="AB98" s="19">
        <v>7</v>
      </c>
      <c r="AC98" s="19">
        <v>6</v>
      </c>
      <c r="AD98" s="19">
        <v>5</v>
      </c>
      <c r="AE98" s="19">
        <v>4</v>
      </c>
      <c r="AF98" s="19">
        <v>3</v>
      </c>
      <c r="AG98" s="19">
        <v>2</v>
      </c>
      <c r="AH98" s="19">
        <v>1</v>
      </c>
      <c r="AI98" s="20">
        <v>0</v>
      </c>
    </row>
    <row r="99" spans="2:35" s="22" customFormat="1" ht="15.75" hidden="1" customHeight="1">
      <c r="B99" s="111" t="s">
        <v>295</v>
      </c>
      <c r="C99" s="124"/>
      <c r="D99" s="113"/>
      <c r="E99" s="114"/>
      <c r="F99" s="114"/>
      <c r="G99" s="114"/>
      <c r="H99" s="114"/>
      <c r="I99" s="114"/>
      <c r="J99" s="114"/>
      <c r="K99" s="114"/>
      <c r="L99" s="114"/>
      <c r="M99" s="114"/>
      <c r="N99" s="114"/>
      <c r="O99" s="114"/>
      <c r="P99" s="114"/>
      <c r="Q99" s="114"/>
      <c r="R99" s="114"/>
      <c r="S99" s="115"/>
      <c r="T99" s="120" t="s">
        <v>38</v>
      </c>
      <c r="U99" s="120"/>
      <c r="V99" s="120" t="s">
        <v>39</v>
      </c>
      <c r="W99" s="120" t="s">
        <v>8</v>
      </c>
      <c r="X99" s="122"/>
      <c r="Y99" s="110" t="s">
        <v>19</v>
      </c>
      <c r="Z99" s="110"/>
      <c r="AA99" s="110"/>
      <c r="AB99" s="108"/>
      <c r="AC99" s="108"/>
      <c r="AD99" s="110" t="s">
        <v>20</v>
      </c>
      <c r="AE99" s="110"/>
      <c r="AF99" s="110"/>
      <c r="AG99" s="108"/>
      <c r="AH99" s="108"/>
      <c r="AI99" s="109"/>
    </row>
    <row r="100" spans="2:35" s="22" customFormat="1" ht="15" hidden="1" customHeight="1">
      <c r="B100" s="112"/>
      <c r="C100" s="124"/>
      <c r="D100" s="116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8"/>
      <c r="T100" s="121"/>
      <c r="U100" s="121"/>
      <c r="V100" s="121"/>
      <c r="W100" s="121"/>
      <c r="X100" s="123"/>
      <c r="Y100" s="110"/>
      <c r="Z100" s="110"/>
      <c r="AA100" s="110"/>
      <c r="AB100" s="108"/>
      <c r="AC100" s="108"/>
      <c r="AD100" s="110"/>
      <c r="AE100" s="110"/>
      <c r="AF100" s="110"/>
      <c r="AG100" s="108"/>
      <c r="AH100" s="108"/>
      <c r="AI100" s="109"/>
    </row>
    <row r="101" spans="2:35" s="22" customFormat="1" ht="15" hidden="1" thickBot="1">
      <c r="B101" s="23" t="s">
        <v>45</v>
      </c>
      <c r="C101" s="24" t="str">
        <f>BIN2HEX(D101&amp;E101&amp;F101&amp;G101)&amp;BIN2HEX(H101&amp;I101&amp;J101&amp;K101)&amp;BIN2HEX(L101&amp;M101&amp;N101&amp;O101)&amp;BIN2HEX(P101&amp;Q101&amp;R101&amp;S101)&amp;BIN2HEX(T101&amp;U101&amp;V101&amp;W101)&amp;BIN2HEX(X101&amp;Y101&amp;Z101&amp;AA101)&amp;BIN2HEX(AB101&amp;AC101&amp;AD101&amp;AE101)&amp;BIN2HEX(AF101&amp;AG101&amp;AH101&amp;AI101)</f>
        <v>00000028</v>
      </c>
      <c r="D101" s="25">
        <v>0</v>
      </c>
      <c r="E101" s="25">
        <v>0</v>
      </c>
      <c r="F101" s="25">
        <v>0</v>
      </c>
      <c r="G101" s="25">
        <v>0</v>
      </c>
      <c r="H101" s="25">
        <v>0</v>
      </c>
      <c r="I101" s="25">
        <v>0</v>
      </c>
      <c r="J101" s="25">
        <v>0</v>
      </c>
      <c r="K101" s="25">
        <v>0</v>
      </c>
      <c r="L101" s="25">
        <v>0</v>
      </c>
      <c r="M101" s="25">
        <v>0</v>
      </c>
      <c r="N101" s="25">
        <v>0</v>
      </c>
      <c r="O101" s="25">
        <v>0</v>
      </c>
      <c r="P101" s="25">
        <v>0</v>
      </c>
      <c r="Q101" s="25">
        <v>0</v>
      </c>
      <c r="R101" s="25">
        <v>0</v>
      </c>
      <c r="S101" s="25">
        <v>0</v>
      </c>
      <c r="T101" s="25">
        <v>0</v>
      </c>
      <c r="U101" s="25">
        <v>0</v>
      </c>
      <c r="V101" s="25">
        <v>0</v>
      </c>
      <c r="W101" s="25">
        <v>0</v>
      </c>
      <c r="X101" s="25">
        <v>0</v>
      </c>
      <c r="Y101" s="25">
        <v>0</v>
      </c>
      <c r="Z101" s="25">
        <v>0</v>
      </c>
      <c r="AA101" s="25">
        <v>0</v>
      </c>
      <c r="AB101" s="25">
        <v>0</v>
      </c>
      <c r="AC101" s="25">
        <v>0</v>
      </c>
      <c r="AD101" s="29">
        <f>MOD(ROUNDDOWN(ROUNDDOWN(240/C30,0)/4,0),2)</f>
        <v>1</v>
      </c>
      <c r="AE101" s="29">
        <f>MOD(ROUNDDOWN(ROUNDDOWN(240/C30,0)/2,0),2)</f>
        <v>0</v>
      </c>
      <c r="AF101" s="29">
        <f>MOD(ROUNDDOWN(240/C30,0),2)</f>
        <v>1</v>
      </c>
      <c r="AG101" s="25">
        <v>0</v>
      </c>
      <c r="AH101" s="25">
        <v>0</v>
      </c>
      <c r="AI101" s="26">
        <v>0</v>
      </c>
    </row>
    <row r="102" spans="2:35" ht="15" hidden="1" thickBot="1"/>
    <row r="103" spans="2:35" s="22" customFormat="1" ht="15.6" hidden="1">
      <c r="B103" s="17" t="s">
        <v>280</v>
      </c>
      <c r="C103" s="18" t="s">
        <v>6</v>
      </c>
      <c r="D103" s="19">
        <v>31</v>
      </c>
      <c r="E103" s="19">
        <v>30</v>
      </c>
      <c r="F103" s="19">
        <v>29</v>
      </c>
      <c r="G103" s="19">
        <v>28</v>
      </c>
      <c r="H103" s="19">
        <v>27</v>
      </c>
      <c r="I103" s="19">
        <v>26</v>
      </c>
      <c r="J103" s="19">
        <v>25</v>
      </c>
      <c r="K103" s="19">
        <v>24</v>
      </c>
      <c r="L103" s="19">
        <v>23</v>
      </c>
      <c r="M103" s="19">
        <v>22</v>
      </c>
      <c r="N103" s="19">
        <v>21</v>
      </c>
      <c r="O103" s="19">
        <v>20</v>
      </c>
      <c r="P103" s="19">
        <v>19</v>
      </c>
      <c r="Q103" s="19">
        <v>18</v>
      </c>
      <c r="R103" s="19">
        <v>17</v>
      </c>
      <c r="S103" s="19">
        <v>16</v>
      </c>
      <c r="T103" s="19">
        <v>15</v>
      </c>
      <c r="U103" s="19">
        <v>14</v>
      </c>
      <c r="V103" s="19">
        <v>13</v>
      </c>
      <c r="W103" s="19">
        <v>12</v>
      </c>
      <c r="X103" s="19">
        <v>11</v>
      </c>
      <c r="Y103" s="19">
        <v>10</v>
      </c>
      <c r="Z103" s="19">
        <v>9</v>
      </c>
      <c r="AA103" s="19">
        <v>8</v>
      </c>
      <c r="AB103" s="19">
        <v>7</v>
      </c>
      <c r="AC103" s="19">
        <v>6</v>
      </c>
      <c r="AD103" s="19">
        <v>5</v>
      </c>
      <c r="AE103" s="19">
        <v>4</v>
      </c>
      <c r="AF103" s="19">
        <v>3</v>
      </c>
      <c r="AG103" s="19">
        <v>2</v>
      </c>
      <c r="AH103" s="19">
        <v>1</v>
      </c>
      <c r="AI103" s="20">
        <v>0</v>
      </c>
    </row>
    <row r="104" spans="2:35" s="22" customFormat="1" ht="15.75" hidden="1" customHeight="1">
      <c r="B104" s="111" t="s">
        <v>296</v>
      </c>
      <c r="C104" s="124"/>
      <c r="D104" s="113"/>
      <c r="E104" s="114"/>
      <c r="F104" s="114"/>
      <c r="G104" s="114"/>
      <c r="H104" s="114"/>
      <c r="I104" s="114"/>
      <c r="J104" s="114"/>
      <c r="K104" s="114"/>
      <c r="L104" s="114"/>
      <c r="M104" s="114"/>
      <c r="N104" s="114"/>
      <c r="O104" s="114"/>
      <c r="P104" s="114"/>
      <c r="Q104" s="114"/>
      <c r="R104" s="114"/>
      <c r="S104" s="115"/>
      <c r="T104" s="120" t="s">
        <v>38</v>
      </c>
      <c r="U104" s="120"/>
      <c r="V104" s="120" t="s">
        <v>39</v>
      </c>
      <c r="W104" s="120" t="s">
        <v>8</v>
      </c>
      <c r="X104" s="122"/>
      <c r="Y104" s="110" t="s">
        <v>19</v>
      </c>
      <c r="Z104" s="110"/>
      <c r="AA104" s="110"/>
      <c r="AB104" s="108"/>
      <c r="AC104" s="108"/>
      <c r="AD104" s="110" t="s">
        <v>20</v>
      </c>
      <c r="AE104" s="110"/>
      <c r="AF104" s="110"/>
      <c r="AG104" s="108"/>
      <c r="AH104" s="108"/>
      <c r="AI104" s="109"/>
    </row>
    <row r="105" spans="2:35" s="22" customFormat="1" ht="15" hidden="1" customHeight="1">
      <c r="B105" s="112"/>
      <c r="C105" s="124"/>
      <c r="D105" s="116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8"/>
      <c r="T105" s="121"/>
      <c r="U105" s="121"/>
      <c r="V105" s="121"/>
      <c r="W105" s="121"/>
      <c r="X105" s="123"/>
      <c r="Y105" s="110"/>
      <c r="Z105" s="110"/>
      <c r="AA105" s="110"/>
      <c r="AB105" s="108"/>
      <c r="AC105" s="108"/>
      <c r="AD105" s="110"/>
      <c r="AE105" s="110"/>
      <c r="AF105" s="110"/>
      <c r="AG105" s="108"/>
      <c r="AH105" s="108"/>
      <c r="AI105" s="109"/>
    </row>
    <row r="106" spans="2:35" s="22" customFormat="1" ht="15" hidden="1" thickBot="1">
      <c r="B106" s="23" t="s">
        <v>46</v>
      </c>
      <c r="C106" s="24" t="str">
        <f>BIN2HEX(D106&amp;E106&amp;F106&amp;G106)&amp;BIN2HEX(H106&amp;I106&amp;J106&amp;K106)&amp;BIN2HEX(L106&amp;M106&amp;N106&amp;O106)&amp;BIN2HEX(P106&amp;Q106&amp;R106&amp;S106)&amp;BIN2HEX(T106&amp;U106&amp;V106&amp;W106)&amp;BIN2HEX(X106&amp;Y106&amp;Z106&amp;AA106)&amp;BIN2HEX(AB106&amp;AC106&amp;AD106&amp;AE106)&amp;BIN2HEX(AF106&amp;AG106&amp;AH106&amp;AI106)</f>
        <v>00000028</v>
      </c>
      <c r="D106" s="25">
        <v>0</v>
      </c>
      <c r="E106" s="25">
        <v>0</v>
      </c>
      <c r="F106" s="25">
        <v>0</v>
      </c>
      <c r="G106" s="25">
        <v>0</v>
      </c>
      <c r="H106" s="25">
        <v>0</v>
      </c>
      <c r="I106" s="25">
        <v>0</v>
      </c>
      <c r="J106" s="25">
        <v>0</v>
      </c>
      <c r="K106" s="25">
        <v>0</v>
      </c>
      <c r="L106" s="25">
        <v>0</v>
      </c>
      <c r="M106" s="25">
        <v>0</v>
      </c>
      <c r="N106" s="25">
        <v>0</v>
      </c>
      <c r="O106" s="25">
        <v>0</v>
      </c>
      <c r="P106" s="25">
        <v>0</v>
      </c>
      <c r="Q106" s="25">
        <v>0</v>
      </c>
      <c r="R106" s="25">
        <v>0</v>
      </c>
      <c r="S106" s="25">
        <v>0</v>
      </c>
      <c r="T106" s="25">
        <v>0</v>
      </c>
      <c r="U106" s="25">
        <v>0</v>
      </c>
      <c r="V106" s="25">
        <v>0</v>
      </c>
      <c r="W106" s="25">
        <v>0</v>
      </c>
      <c r="X106" s="25">
        <v>0</v>
      </c>
      <c r="Y106" s="25">
        <v>0</v>
      </c>
      <c r="Z106" s="25">
        <v>0</v>
      </c>
      <c r="AA106" s="25">
        <v>0</v>
      </c>
      <c r="AB106" s="25">
        <v>0</v>
      </c>
      <c r="AC106" s="25">
        <v>0</v>
      </c>
      <c r="AD106" s="29">
        <f>MOD(ROUNDDOWN(ROUNDDOWN(240/C30,0)/4,0),2)</f>
        <v>1</v>
      </c>
      <c r="AE106" s="29">
        <f>MOD(ROUNDDOWN(ROUNDDOWN(240/C30,0)/2,0),2)</f>
        <v>0</v>
      </c>
      <c r="AF106" s="29">
        <f>MOD(ROUNDDOWN(240/C30,0),2)</f>
        <v>1</v>
      </c>
      <c r="AG106" s="25">
        <v>0</v>
      </c>
      <c r="AH106" s="25">
        <v>0</v>
      </c>
      <c r="AI106" s="26">
        <v>0</v>
      </c>
    </row>
    <row r="107" spans="2:35" ht="15" hidden="1" thickBot="1"/>
    <row r="108" spans="2:35" s="22" customFormat="1" ht="15.6" hidden="1">
      <c r="B108" s="17" t="s">
        <v>280</v>
      </c>
      <c r="C108" s="18" t="s">
        <v>6</v>
      </c>
      <c r="D108" s="19">
        <v>31</v>
      </c>
      <c r="E108" s="19">
        <v>30</v>
      </c>
      <c r="F108" s="19">
        <v>29</v>
      </c>
      <c r="G108" s="19">
        <v>28</v>
      </c>
      <c r="H108" s="19">
        <v>27</v>
      </c>
      <c r="I108" s="19">
        <v>26</v>
      </c>
      <c r="J108" s="19">
        <v>25</v>
      </c>
      <c r="K108" s="19">
        <v>24</v>
      </c>
      <c r="L108" s="19">
        <v>23</v>
      </c>
      <c r="M108" s="19">
        <v>22</v>
      </c>
      <c r="N108" s="19">
        <v>21</v>
      </c>
      <c r="O108" s="19">
        <v>20</v>
      </c>
      <c r="P108" s="19">
        <v>19</v>
      </c>
      <c r="Q108" s="19">
        <v>18</v>
      </c>
      <c r="R108" s="19">
        <v>17</v>
      </c>
      <c r="S108" s="19">
        <v>16</v>
      </c>
      <c r="T108" s="19">
        <v>15</v>
      </c>
      <c r="U108" s="19">
        <v>14</v>
      </c>
      <c r="V108" s="19">
        <v>13</v>
      </c>
      <c r="W108" s="19">
        <v>12</v>
      </c>
      <c r="X108" s="19">
        <v>11</v>
      </c>
      <c r="Y108" s="19">
        <v>10</v>
      </c>
      <c r="Z108" s="19">
        <v>9</v>
      </c>
      <c r="AA108" s="19">
        <v>8</v>
      </c>
      <c r="AB108" s="19">
        <v>7</v>
      </c>
      <c r="AC108" s="19">
        <v>6</v>
      </c>
      <c r="AD108" s="19">
        <v>5</v>
      </c>
      <c r="AE108" s="19">
        <v>4</v>
      </c>
      <c r="AF108" s="19">
        <v>3</v>
      </c>
      <c r="AG108" s="19">
        <v>2</v>
      </c>
      <c r="AH108" s="19">
        <v>1</v>
      </c>
      <c r="AI108" s="20">
        <v>0</v>
      </c>
    </row>
    <row r="109" spans="2:35" s="22" customFormat="1" ht="15.75" hidden="1" customHeight="1">
      <c r="B109" s="111" t="s">
        <v>297</v>
      </c>
      <c r="C109" s="124"/>
      <c r="D109" s="113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4"/>
      <c r="Q109" s="114"/>
      <c r="R109" s="114"/>
      <c r="S109" s="115"/>
      <c r="T109" s="120" t="s">
        <v>38</v>
      </c>
      <c r="U109" s="120"/>
      <c r="V109" s="120" t="s">
        <v>39</v>
      </c>
      <c r="W109" s="120" t="s">
        <v>8</v>
      </c>
      <c r="X109" s="122"/>
      <c r="Y109" s="110" t="s">
        <v>19</v>
      </c>
      <c r="Z109" s="110"/>
      <c r="AA109" s="110"/>
      <c r="AB109" s="108"/>
      <c r="AC109" s="108"/>
      <c r="AD109" s="110" t="s">
        <v>20</v>
      </c>
      <c r="AE109" s="110"/>
      <c r="AF109" s="110"/>
      <c r="AG109" s="108"/>
      <c r="AH109" s="108"/>
      <c r="AI109" s="109"/>
    </row>
    <row r="110" spans="2:35" s="22" customFormat="1" ht="15" hidden="1" customHeight="1">
      <c r="B110" s="112"/>
      <c r="C110" s="124"/>
      <c r="D110" s="116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8"/>
      <c r="T110" s="121"/>
      <c r="U110" s="121"/>
      <c r="V110" s="121"/>
      <c r="W110" s="121"/>
      <c r="X110" s="123"/>
      <c r="Y110" s="110"/>
      <c r="Z110" s="110"/>
      <c r="AA110" s="110"/>
      <c r="AB110" s="108"/>
      <c r="AC110" s="108"/>
      <c r="AD110" s="110"/>
      <c r="AE110" s="110"/>
      <c r="AF110" s="110"/>
      <c r="AG110" s="108"/>
      <c r="AH110" s="108"/>
      <c r="AI110" s="109"/>
    </row>
    <row r="111" spans="2:35" s="22" customFormat="1" ht="15" hidden="1" thickBot="1">
      <c r="B111" s="23" t="s">
        <v>47</v>
      </c>
      <c r="C111" s="24" t="str">
        <f>BIN2HEX(D111&amp;E111&amp;F111&amp;G111)&amp;BIN2HEX(H111&amp;I111&amp;J111&amp;K111)&amp;BIN2HEX(L111&amp;M111&amp;N111&amp;O111)&amp;BIN2HEX(P111&amp;Q111&amp;R111&amp;S111)&amp;BIN2HEX(T111&amp;U111&amp;V111&amp;W111)&amp;BIN2HEX(X111&amp;Y111&amp;Z111&amp;AA111)&amp;BIN2HEX(AB111&amp;AC111&amp;AD111&amp;AE111)&amp;BIN2HEX(AF111&amp;AG111&amp;AH111&amp;AI111)</f>
        <v>00000028</v>
      </c>
      <c r="D111" s="25">
        <v>0</v>
      </c>
      <c r="E111" s="25">
        <v>0</v>
      </c>
      <c r="F111" s="25">
        <v>0</v>
      </c>
      <c r="G111" s="25">
        <v>0</v>
      </c>
      <c r="H111" s="25">
        <v>0</v>
      </c>
      <c r="I111" s="25">
        <v>0</v>
      </c>
      <c r="J111" s="25">
        <v>0</v>
      </c>
      <c r="K111" s="25">
        <v>0</v>
      </c>
      <c r="L111" s="25">
        <v>0</v>
      </c>
      <c r="M111" s="25">
        <v>0</v>
      </c>
      <c r="N111" s="25">
        <v>0</v>
      </c>
      <c r="O111" s="25">
        <v>0</v>
      </c>
      <c r="P111" s="25">
        <v>0</v>
      </c>
      <c r="Q111" s="25">
        <v>0</v>
      </c>
      <c r="R111" s="25">
        <v>0</v>
      </c>
      <c r="S111" s="25">
        <v>0</v>
      </c>
      <c r="T111" s="25">
        <v>0</v>
      </c>
      <c r="U111" s="25">
        <v>0</v>
      </c>
      <c r="V111" s="25">
        <v>0</v>
      </c>
      <c r="W111" s="25">
        <v>0</v>
      </c>
      <c r="X111" s="25">
        <v>0</v>
      </c>
      <c r="Y111" s="25">
        <v>0</v>
      </c>
      <c r="Z111" s="25">
        <v>0</v>
      </c>
      <c r="AA111" s="25">
        <v>0</v>
      </c>
      <c r="AB111" s="25">
        <v>0</v>
      </c>
      <c r="AC111" s="25">
        <v>0</v>
      </c>
      <c r="AD111" s="29">
        <f>MOD(ROUNDDOWN(ROUNDDOWN(240/C30,0)/4,0),2)</f>
        <v>1</v>
      </c>
      <c r="AE111" s="29">
        <f>MOD(ROUNDDOWN(ROUNDDOWN(240/C30,0)/2,0),2)</f>
        <v>0</v>
      </c>
      <c r="AF111" s="29">
        <f>MOD(ROUNDDOWN(240/C30,0),2)</f>
        <v>1</v>
      </c>
      <c r="AG111" s="25">
        <v>0</v>
      </c>
      <c r="AH111" s="25">
        <v>0</v>
      </c>
      <c r="AI111" s="26">
        <v>0</v>
      </c>
    </row>
    <row r="112" spans="2:35" ht="15" hidden="1" thickBot="1"/>
    <row r="113" spans="2:35" s="22" customFormat="1" ht="15.6" hidden="1">
      <c r="B113" s="17" t="s">
        <v>280</v>
      </c>
      <c r="C113" s="18" t="s">
        <v>6</v>
      </c>
      <c r="D113" s="19">
        <v>31</v>
      </c>
      <c r="E113" s="19">
        <v>30</v>
      </c>
      <c r="F113" s="19">
        <v>29</v>
      </c>
      <c r="G113" s="19">
        <v>28</v>
      </c>
      <c r="H113" s="19">
        <v>27</v>
      </c>
      <c r="I113" s="19">
        <v>26</v>
      </c>
      <c r="J113" s="19">
        <v>25</v>
      </c>
      <c r="K113" s="19">
        <v>24</v>
      </c>
      <c r="L113" s="19">
        <v>23</v>
      </c>
      <c r="M113" s="19">
        <v>22</v>
      </c>
      <c r="N113" s="19">
        <v>21</v>
      </c>
      <c r="O113" s="19">
        <v>20</v>
      </c>
      <c r="P113" s="19">
        <v>19</v>
      </c>
      <c r="Q113" s="19">
        <v>18</v>
      </c>
      <c r="R113" s="19">
        <v>17</v>
      </c>
      <c r="S113" s="19">
        <v>16</v>
      </c>
      <c r="T113" s="19">
        <v>15</v>
      </c>
      <c r="U113" s="19">
        <v>14</v>
      </c>
      <c r="V113" s="19">
        <v>13</v>
      </c>
      <c r="W113" s="19">
        <v>12</v>
      </c>
      <c r="X113" s="19">
        <v>11</v>
      </c>
      <c r="Y113" s="19">
        <v>10</v>
      </c>
      <c r="Z113" s="19">
        <v>9</v>
      </c>
      <c r="AA113" s="19">
        <v>8</v>
      </c>
      <c r="AB113" s="19">
        <v>7</v>
      </c>
      <c r="AC113" s="19">
        <v>6</v>
      </c>
      <c r="AD113" s="19">
        <v>5</v>
      </c>
      <c r="AE113" s="19">
        <v>4</v>
      </c>
      <c r="AF113" s="19">
        <v>3</v>
      </c>
      <c r="AG113" s="19">
        <v>2</v>
      </c>
      <c r="AH113" s="19">
        <v>1</v>
      </c>
      <c r="AI113" s="20">
        <v>0</v>
      </c>
    </row>
    <row r="114" spans="2:35" s="22" customFormat="1" ht="15.75" hidden="1" customHeight="1">
      <c r="B114" s="111" t="s">
        <v>298</v>
      </c>
      <c r="C114" s="124"/>
      <c r="D114" s="113"/>
      <c r="E114" s="114"/>
      <c r="F114" s="114"/>
      <c r="G114" s="114"/>
      <c r="H114" s="114"/>
      <c r="I114" s="114"/>
      <c r="J114" s="114"/>
      <c r="K114" s="114"/>
      <c r="L114" s="114"/>
      <c r="M114" s="114"/>
      <c r="N114" s="114"/>
      <c r="O114" s="114"/>
      <c r="P114" s="114"/>
      <c r="Q114" s="114"/>
      <c r="R114" s="114"/>
      <c r="S114" s="115"/>
      <c r="T114" s="120" t="s">
        <v>38</v>
      </c>
      <c r="U114" s="120"/>
      <c r="V114" s="120" t="s">
        <v>39</v>
      </c>
      <c r="W114" s="120" t="s">
        <v>8</v>
      </c>
      <c r="X114" s="122"/>
      <c r="Y114" s="110" t="s">
        <v>19</v>
      </c>
      <c r="Z114" s="110"/>
      <c r="AA114" s="110"/>
      <c r="AB114" s="108"/>
      <c r="AC114" s="108"/>
      <c r="AD114" s="110" t="s">
        <v>20</v>
      </c>
      <c r="AE114" s="110"/>
      <c r="AF114" s="110"/>
      <c r="AG114" s="108"/>
      <c r="AH114" s="108"/>
      <c r="AI114" s="109"/>
    </row>
    <row r="115" spans="2:35" s="22" customFormat="1" ht="15" hidden="1" customHeight="1">
      <c r="B115" s="112"/>
      <c r="C115" s="124"/>
      <c r="D115" s="116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8"/>
      <c r="T115" s="121"/>
      <c r="U115" s="121"/>
      <c r="V115" s="121"/>
      <c r="W115" s="121"/>
      <c r="X115" s="123"/>
      <c r="Y115" s="110"/>
      <c r="Z115" s="110"/>
      <c r="AA115" s="110"/>
      <c r="AB115" s="108"/>
      <c r="AC115" s="108"/>
      <c r="AD115" s="110"/>
      <c r="AE115" s="110"/>
      <c r="AF115" s="110"/>
      <c r="AG115" s="108"/>
      <c r="AH115" s="108"/>
      <c r="AI115" s="109"/>
    </row>
    <row r="116" spans="2:35" s="22" customFormat="1" ht="15" hidden="1" thickBot="1">
      <c r="B116" s="23" t="s">
        <v>48</v>
      </c>
      <c r="C116" s="24" t="str">
        <f>BIN2HEX(D116&amp;E116&amp;F116&amp;G116)&amp;BIN2HEX(H116&amp;I116&amp;J116&amp;K116)&amp;BIN2HEX(L116&amp;M116&amp;N116&amp;O116)&amp;BIN2HEX(P116&amp;Q116&amp;R116&amp;S116)&amp;BIN2HEX(T116&amp;U116&amp;V116&amp;W116)&amp;BIN2HEX(X116&amp;Y116&amp;Z116&amp;AA116)&amp;BIN2HEX(AB116&amp;AC116&amp;AD116&amp;AE116)&amp;BIN2HEX(AF116&amp;AG116&amp;AH116&amp;AI116)</f>
        <v>00000028</v>
      </c>
      <c r="D116" s="25">
        <v>0</v>
      </c>
      <c r="E116" s="25">
        <v>0</v>
      </c>
      <c r="F116" s="25">
        <v>0</v>
      </c>
      <c r="G116" s="25">
        <v>0</v>
      </c>
      <c r="H116" s="25">
        <v>0</v>
      </c>
      <c r="I116" s="25">
        <v>0</v>
      </c>
      <c r="J116" s="25">
        <v>0</v>
      </c>
      <c r="K116" s="25">
        <v>0</v>
      </c>
      <c r="L116" s="25">
        <v>0</v>
      </c>
      <c r="M116" s="25">
        <v>0</v>
      </c>
      <c r="N116" s="25">
        <v>0</v>
      </c>
      <c r="O116" s="25">
        <v>0</v>
      </c>
      <c r="P116" s="25">
        <v>0</v>
      </c>
      <c r="Q116" s="25">
        <v>0</v>
      </c>
      <c r="R116" s="25">
        <v>0</v>
      </c>
      <c r="S116" s="25">
        <v>0</v>
      </c>
      <c r="T116" s="25">
        <v>0</v>
      </c>
      <c r="U116" s="25">
        <v>0</v>
      </c>
      <c r="V116" s="25">
        <v>0</v>
      </c>
      <c r="W116" s="25">
        <v>0</v>
      </c>
      <c r="X116" s="25">
        <v>0</v>
      </c>
      <c r="Y116" s="25">
        <v>0</v>
      </c>
      <c r="Z116" s="25">
        <v>0</v>
      </c>
      <c r="AA116" s="25">
        <v>0</v>
      </c>
      <c r="AB116" s="25">
        <v>0</v>
      </c>
      <c r="AC116" s="25">
        <v>0</v>
      </c>
      <c r="AD116" s="29">
        <f>MOD(ROUNDDOWN(ROUNDDOWN(240/C30,0)/4,0),2)</f>
        <v>1</v>
      </c>
      <c r="AE116" s="29">
        <f>MOD(ROUNDDOWN(ROUNDDOWN(240/C30,0)/2,0),2)</f>
        <v>0</v>
      </c>
      <c r="AF116" s="29">
        <f>MOD(ROUNDDOWN(240/C30,0),2)</f>
        <v>1</v>
      </c>
      <c r="AG116" s="25">
        <v>0</v>
      </c>
      <c r="AH116" s="25">
        <v>0</v>
      </c>
      <c r="AI116" s="26">
        <v>0</v>
      </c>
    </row>
    <row r="117" spans="2:35" ht="15" hidden="1" thickBot="1"/>
    <row r="118" spans="2:35" s="22" customFormat="1" ht="15.6" hidden="1">
      <c r="B118" s="17" t="s">
        <v>280</v>
      </c>
      <c r="C118" s="18" t="s">
        <v>6</v>
      </c>
      <c r="D118" s="19">
        <v>31</v>
      </c>
      <c r="E118" s="19">
        <v>30</v>
      </c>
      <c r="F118" s="19">
        <v>29</v>
      </c>
      <c r="G118" s="19">
        <v>28</v>
      </c>
      <c r="H118" s="19">
        <v>27</v>
      </c>
      <c r="I118" s="19">
        <v>26</v>
      </c>
      <c r="J118" s="19">
        <v>25</v>
      </c>
      <c r="K118" s="19">
        <v>24</v>
      </c>
      <c r="L118" s="19">
        <v>23</v>
      </c>
      <c r="M118" s="19">
        <v>22</v>
      </c>
      <c r="N118" s="19">
        <v>21</v>
      </c>
      <c r="O118" s="19">
        <v>20</v>
      </c>
      <c r="P118" s="19">
        <v>19</v>
      </c>
      <c r="Q118" s="19">
        <v>18</v>
      </c>
      <c r="R118" s="19">
        <v>17</v>
      </c>
      <c r="S118" s="19">
        <v>16</v>
      </c>
      <c r="T118" s="19">
        <v>15</v>
      </c>
      <c r="U118" s="19">
        <v>14</v>
      </c>
      <c r="V118" s="19">
        <v>13</v>
      </c>
      <c r="W118" s="19">
        <v>12</v>
      </c>
      <c r="X118" s="19">
        <v>11</v>
      </c>
      <c r="Y118" s="19">
        <v>10</v>
      </c>
      <c r="Z118" s="19">
        <v>9</v>
      </c>
      <c r="AA118" s="19">
        <v>8</v>
      </c>
      <c r="AB118" s="19">
        <v>7</v>
      </c>
      <c r="AC118" s="19">
        <v>6</v>
      </c>
      <c r="AD118" s="19">
        <v>5</v>
      </c>
      <c r="AE118" s="19">
        <v>4</v>
      </c>
      <c r="AF118" s="19">
        <v>3</v>
      </c>
      <c r="AG118" s="19">
        <v>2</v>
      </c>
      <c r="AH118" s="19">
        <v>1</v>
      </c>
      <c r="AI118" s="20">
        <v>0</v>
      </c>
    </row>
    <row r="119" spans="2:35" s="22" customFormat="1" ht="15.75" hidden="1" customHeight="1">
      <c r="B119" s="111" t="s">
        <v>299</v>
      </c>
      <c r="C119" s="124"/>
      <c r="D119" s="113"/>
      <c r="E119" s="114"/>
      <c r="F119" s="114"/>
      <c r="G119" s="114"/>
      <c r="H119" s="114"/>
      <c r="I119" s="114"/>
      <c r="J119" s="114"/>
      <c r="K119" s="114"/>
      <c r="L119" s="114"/>
      <c r="M119" s="114"/>
      <c r="N119" s="114"/>
      <c r="O119" s="114"/>
      <c r="P119" s="114"/>
      <c r="Q119" s="114"/>
      <c r="R119" s="114"/>
      <c r="S119" s="115"/>
      <c r="T119" s="120" t="s">
        <v>38</v>
      </c>
      <c r="U119" s="120"/>
      <c r="V119" s="120" t="s">
        <v>39</v>
      </c>
      <c r="W119" s="120" t="s">
        <v>8</v>
      </c>
      <c r="X119" s="122"/>
      <c r="Y119" s="110" t="s">
        <v>19</v>
      </c>
      <c r="Z119" s="110"/>
      <c r="AA119" s="110"/>
      <c r="AB119" s="108"/>
      <c r="AC119" s="108"/>
      <c r="AD119" s="110" t="s">
        <v>20</v>
      </c>
      <c r="AE119" s="110"/>
      <c r="AF119" s="110"/>
      <c r="AG119" s="108"/>
      <c r="AH119" s="108"/>
      <c r="AI119" s="109"/>
    </row>
    <row r="120" spans="2:35" s="22" customFormat="1" ht="15" hidden="1" customHeight="1">
      <c r="B120" s="112"/>
      <c r="C120" s="124"/>
      <c r="D120" s="116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  <c r="S120" s="118"/>
      <c r="T120" s="121"/>
      <c r="U120" s="121"/>
      <c r="V120" s="121"/>
      <c r="W120" s="121"/>
      <c r="X120" s="123"/>
      <c r="Y120" s="110"/>
      <c r="Z120" s="110"/>
      <c r="AA120" s="110"/>
      <c r="AB120" s="108"/>
      <c r="AC120" s="108"/>
      <c r="AD120" s="110"/>
      <c r="AE120" s="110"/>
      <c r="AF120" s="110"/>
      <c r="AG120" s="108"/>
      <c r="AH120" s="108"/>
      <c r="AI120" s="109"/>
    </row>
    <row r="121" spans="2:35" s="22" customFormat="1" ht="15" hidden="1" thickBot="1">
      <c r="B121" s="23" t="s">
        <v>49</v>
      </c>
      <c r="C121" s="24" t="str">
        <f>BIN2HEX(D121&amp;E121&amp;F121&amp;G121)&amp;BIN2HEX(H121&amp;I121&amp;J121&amp;K121)&amp;BIN2HEX(L121&amp;M121&amp;N121&amp;O121)&amp;BIN2HEX(P121&amp;Q121&amp;R121&amp;S121)&amp;BIN2HEX(T121&amp;U121&amp;V121&amp;W121)&amp;BIN2HEX(X121&amp;Y121&amp;Z121&amp;AA121)&amp;BIN2HEX(AB121&amp;AC121&amp;AD121&amp;AE121)&amp;BIN2HEX(AF121&amp;AG121&amp;AH121&amp;AI121)</f>
        <v>00000028</v>
      </c>
      <c r="D121" s="25">
        <v>0</v>
      </c>
      <c r="E121" s="25">
        <v>0</v>
      </c>
      <c r="F121" s="25">
        <v>0</v>
      </c>
      <c r="G121" s="25">
        <v>0</v>
      </c>
      <c r="H121" s="25">
        <v>0</v>
      </c>
      <c r="I121" s="25">
        <v>0</v>
      </c>
      <c r="J121" s="25">
        <v>0</v>
      </c>
      <c r="K121" s="25">
        <v>0</v>
      </c>
      <c r="L121" s="25">
        <v>0</v>
      </c>
      <c r="M121" s="25">
        <v>0</v>
      </c>
      <c r="N121" s="25">
        <v>0</v>
      </c>
      <c r="O121" s="25">
        <v>0</v>
      </c>
      <c r="P121" s="25">
        <v>0</v>
      </c>
      <c r="Q121" s="25">
        <v>0</v>
      </c>
      <c r="R121" s="25">
        <v>0</v>
      </c>
      <c r="S121" s="25">
        <v>0</v>
      </c>
      <c r="T121" s="25">
        <v>0</v>
      </c>
      <c r="U121" s="25">
        <v>0</v>
      </c>
      <c r="V121" s="25">
        <v>0</v>
      </c>
      <c r="W121" s="25">
        <v>0</v>
      </c>
      <c r="X121" s="25">
        <v>0</v>
      </c>
      <c r="Y121" s="25">
        <v>0</v>
      </c>
      <c r="Z121" s="25">
        <v>0</v>
      </c>
      <c r="AA121" s="25">
        <v>0</v>
      </c>
      <c r="AB121" s="25">
        <v>0</v>
      </c>
      <c r="AC121" s="25">
        <v>0</v>
      </c>
      <c r="AD121" s="29">
        <f>MOD(ROUNDDOWN(ROUNDDOWN(240/C30,0)/4,0),2)</f>
        <v>1</v>
      </c>
      <c r="AE121" s="29">
        <f>MOD(ROUNDDOWN(ROUNDDOWN(240/C30,0)/2,0),2)</f>
        <v>0</v>
      </c>
      <c r="AF121" s="29">
        <f>MOD(ROUNDDOWN(240/C30,0),2)</f>
        <v>1</v>
      </c>
      <c r="AG121" s="25">
        <v>0</v>
      </c>
      <c r="AH121" s="25">
        <v>0</v>
      </c>
      <c r="AI121" s="26">
        <v>0</v>
      </c>
    </row>
    <row r="122" spans="2:35" ht="15" hidden="1" thickBot="1"/>
    <row r="123" spans="2:35" s="22" customFormat="1" ht="15.6" hidden="1">
      <c r="B123" s="17" t="s">
        <v>280</v>
      </c>
      <c r="C123" s="18" t="s">
        <v>6</v>
      </c>
      <c r="D123" s="19">
        <v>31</v>
      </c>
      <c r="E123" s="19">
        <v>30</v>
      </c>
      <c r="F123" s="19">
        <v>29</v>
      </c>
      <c r="G123" s="19">
        <v>28</v>
      </c>
      <c r="H123" s="19">
        <v>27</v>
      </c>
      <c r="I123" s="19">
        <v>26</v>
      </c>
      <c r="J123" s="19">
        <v>25</v>
      </c>
      <c r="K123" s="19">
        <v>24</v>
      </c>
      <c r="L123" s="19">
        <v>23</v>
      </c>
      <c r="M123" s="19">
        <v>22</v>
      </c>
      <c r="N123" s="19">
        <v>21</v>
      </c>
      <c r="O123" s="19">
        <v>20</v>
      </c>
      <c r="P123" s="19">
        <v>19</v>
      </c>
      <c r="Q123" s="19">
        <v>18</v>
      </c>
      <c r="R123" s="19">
        <v>17</v>
      </c>
      <c r="S123" s="19">
        <v>16</v>
      </c>
      <c r="T123" s="19">
        <v>15</v>
      </c>
      <c r="U123" s="19">
        <v>14</v>
      </c>
      <c r="V123" s="19">
        <v>13</v>
      </c>
      <c r="W123" s="19">
        <v>12</v>
      </c>
      <c r="X123" s="19">
        <v>11</v>
      </c>
      <c r="Y123" s="19">
        <v>10</v>
      </c>
      <c r="Z123" s="19">
        <v>9</v>
      </c>
      <c r="AA123" s="19">
        <v>8</v>
      </c>
      <c r="AB123" s="19">
        <v>7</v>
      </c>
      <c r="AC123" s="19">
        <v>6</v>
      </c>
      <c r="AD123" s="19">
        <v>5</v>
      </c>
      <c r="AE123" s="19">
        <v>4</v>
      </c>
      <c r="AF123" s="19">
        <v>3</v>
      </c>
      <c r="AG123" s="19">
        <v>2</v>
      </c>
      <c r="AH123" s="19">
        <v>1</v>
      </c>
      <c r="AI123" s="20">
        <v>0</v>
      </c>
    </row>
    <row r="124" spans="2:35" s="22" customFormat="1" ht="15.75" hidden="1" customHeight="1">
      <c r="B124" s="111" t="s">
        <v>300</v>
      </c>
      <c r="C124" s="124"/>
      <c r="D124" s="113"/>
      <c r="E124" s="114"/>
      <c r="F124" s="114"/>
      <c r="G124" s="114"/>
      <c r="H124" s="114"/>
      <c r="I124" s="114"/>
      <c r="J124" s="114"/>
      <c r="K124" s="114"/>
      <c r="L124" s="114"/>
      <c r="M124" s="114"/>
      <c r="N124" s="114"/>
      <c r="O124" s="114"/>
      <c r="P124" s="114"/>
      <c r="Q124" s="114"/>
      <c r="R124" s="114"/>
      <c r="S124" s="115"/>
      <c r="T124" s="120" t="s">
        <v>38</v>
      </c>
      <c r="U124" s="120"/>
      <c r="V124" s="120" t="s">
        <v>39</v>
      </c>
      <c r="W124" s="120" t="s">
        <v>8</v>
      </c>
      <c r="X124" s="122"/>
      <c r="Y124" s="110" t="s">
        <v>19</v>
      </c>
      <c r="Z124" s="110"/>
      <c r="AA124" s="110"/>
      <c r="AB124" s="108"/>
      <c r="AC124" s="108"/>
      <c r="AD124" s="110" t="s">
        <v>20</v>
      </c>
      <c r="AE124" s="110"/>
      <c r="AF124" s="110"/>
      <c r="AG124" s="108"/>
      <c r="AH124" s="108"/>
      <c r="AI124" s="109"/>
    </row>
    <row r="125" spans="2:35" s="22" customFormat="1" ht="15" hidden="1" customHeight="1">
      <c r="B125" s="112"/>
      <c r="C125" s="124"/>
      <c r="D125" s="116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8"/>
      <c r="T125" s="121"/>
      <c r="U125" s="121"/>
      <c r="V125" s="121"/>
      <c r="W125" s="121"/>
      <c r="X125" s="123"/>
      <c r="Y125" s="110"/>
      <c r="Z125" s="110"/>
      <c r="AA125" s="110"/>
      <c r="AB125" s="108"/>
      <c r="AC125" s="108"/>
      <c r="AD125" s="110"/>
      <c r="AE125" s="110"/>
      <c r="AF125" s="110"/>
      <c r="AG125" s="108"/>
      <c r="AH125" s="108"/>
      <c r="AI125" s="109"/>
    </row>
    <row r="126" spans="2:35" s="22" customFormat="1" ht="15" hidden="1" thickBot="1">
      <c r="B126" s="23" t="s">
        <v>50</v>
      </c>
      <c r="C126" s="24" t="str">
        <f>BIN2HEX(D126&amp;E126&amp;F126&amp;G126)&amp;BIN2HEX(H126&amp;I126&amp;J126&amp;K126)&amp;BIN2HEX(L126&amp;M126&amp;N126&amp;O126)&amp;BIN2HEX(P126&amp;Q126&amp;R126&amp;S126)&amp;BIN2HEX(T126&amp;U126&amp;V126&amp;W126)&amp;BIN2HEX(X126&amp;Y126&amp;Z126&amp;AA126)&amp;BIN2HEX(AB126&amp;AC126&amp;AD126&amp;AE126)&amp;BIN2HEX(AF126&amp;AG126&amp;AH126&amp;AI126)</f>
        <v>00000028</v>
      </c>
      <c r="D126" s="25">
        <v>0</v>
      </c>
      <c r="E126" s="25">
        <v>0</v>
      </c>
      <c r="F126" s="25">
        <v>0</v>
      </c>
      <c r="G126" s="25">
        <v>0</v>
      </c>
      <c r="H126" s="25">
        <v>0</v>
      </c>
      <c r="I126" s="25">
        <v>0</v>
      </c>
      <c r="J126" s="25">
        <v>0</v>
      </c>
      <c r="K126" s="25">
        <v>0</v>
      </c>
      <c r="L126" s="25">
        <v>0</v>
      </c>
      <c r="M126" s="25">
        <v>0</v>
      </c>
      <c r="N126" s="25">
        <v>0</v>
      </c>
      <c r="O126" s="25">
        <v>0</v>
      </c>
      <c r="P126" s="25">
        <v>0</v>
      </c>
      <c r="Q126" s="25">
        <v>0</v>
      </c>
      <c r="R126" s="25">
        <v>0</v>
      </c>
      <c r="S126" s="25">
        <v>0</v>
      </c>
      <c r="T126" s="25">
        <v>0</v>
      </c>
      <c r="U126" s="25">
        <v>0</v>
      </c>
      <c r="V126" s="25">
        <v>0</v>
      </c>
      <c r="W126" s="25">
        <v>0</v>
      </c>
      <c r="X126" s="25">
        <v>0</v>
      </c>
      <c r="Y126" s="25">
        <v>0</v>
      </c>
      <c r="Z126" s="25">
        <v>0</v>
      </c>
      <c r="AA126" s="25">
        <v>0</v>
      </c>
      <c r="AB126" s="25">
        <v>0</v>
      </c>
      <c r="AC126" s="25">
        <v>0</v>
      </c>
      <c r="AD126" s="29">
        <f>MOD(ROUNDDOWN(ROUNDDOWN(240/C30,0)/4,0),2)</f>
        <v>1</v>
      </c>
      <c r="AE126" s="29">
        <f>MOD(ROUNDDOWN(ROUNDDOWN(240/C30,0)/2,0),2)</f>
        <v>0</v>
      </c>
      <c r="AF126" s="29">
        <f>MOD(ROUNDDOWN(240/C30,0),2)</f>
        <v>1</v>
      </c>
      <c r="AG126" s="25">
        <v>0</v>
      </c>
      <c r="AH126" s="25">
        <v>0</v>
      </c>
      <c r="AI126" s="26">
        <v>0</v>
      </c>
    </row>
    <row r="127" spans="2:35" ht="15" hidden="1" thickBot="1"/>
    <row r="128" spans="2:35" s="22" customFormat="1" ht="15.6" hidden="1">
      <c r="B128" s="17" t="s">
        <v>280</v>
      </c>
      <c r="C128" s="18" t="s">
        <v>6</v>
      </c>
      <c r="D128" s="19">
        <v>31</v>
      </c>
      <c r="E128" s="19">
        <v>30</v>
      </c>
      <c r="F128" s="19">
        <v>29</v>
      </c>
      <c r="G128" s="19">
        <v>28</v>
      </c>
      <c r="H128" s="19">
        <v>27</v>
      </c>
      <c r="I128" s="19">
        <v>26</v>
      </c>
      <c r="J128" s="19">
        <v>25</v>
      </c>
      <c r="K128" s="19">
        <v>24</v>
      </c>
      <c r="L128" s="19">
        <v>23</v>
      </c>
      <c r="M128" s="19">
        <v>22</v>
      </c>
      <c r="N128" s="19">
        <v>21</v>
      </c>
      <c r="O128" s="19">
        <v>20</v>
      </c>
      <c r="P128" s="19">
        <v>19</v>
      </c>
      <c r="Q128" s="19">
        <v>18</v>
      </c>
      <c r="R128" s="19">
        <v>17</v>
      </c>
      <c r="S128" s="19">
        <v>16</v>
      </c>
      <c r="T128" s="19">
        <v>15</v>
      </c>
      <c r="U128" s="19">
        <v>14</v>
      </c>
      <c r="V128" s="19">
        <v>13</v>
      </c>
      <c r="W128" s="19">
        <v>12</v>
      </c>
      <c r="X128" s="19">
        <v>11</v>
      </c>
      <c r="Y128" s="19">
        <v>10</v>
      </c>
      <c r="Z128" s="19">
        <v>9</v>
      </c>
      <c r="AA128" s="19">
        <v>8</v>
      </c>
      <c r="AB128" s="19">
        <v>7</v>
      </c>
      <c r="AC128" s="19">
        <v>6</v>
      </c>
      <c r="AD128" s="19">
        <v>5</v>
      </c>
      <c r="AE128" s="19">
        <v>4</v>
      </c>
      <c r="AF128" s="19">
        <v>3</v>
      </c>
      <c r="AG128" s="19">
        <v>2</v>
      </c>
      <c r="AH128" s="19">
        <v>1</v>
      </c>
      <c r="AI128" s="20">
        <v>0</v>
      </c>
    </row>
    <row r="129" spans="2:35" s="22" customFormat="1" ht="15.75" hidden="1" customHeight="1">
      <c r="B129" s="111" t="s">
        <v>301</v>
      </c>
      <c r="C129" s="124"/>
      <c r="D129" s="113"/>
      <c r="E129" s="114"/>
      <c r="F129" s="114"/>
      <c r="G129" s="114"/>
      <c r="H129" s="114"/>
      <c r="I129" s="114"/>
      <c r="J129" s="114"/>
      <c r="K129" s="114"/>
      <c r="L129" s="114"/>
      <c r="M129" s="114"/>
      <c r="N129" s="114"/>
      <c r="O129" s="114"/>
      <c r="P129" s="114"/>
      <c r="Q129" s="114"/>
      <c r="R129" s="114"/>
      <c r="S129" s="115"/>
      <c r="T129" s="120" t="s">
        <v>38</v>
      </c>
      <c r="U129" s="120"/>
      <c r="V129" s="120" t="s">
        <v>39</v>
      </c>
      <c r="W129" s="120" t="s">
        <v>8</v>
      </c>
      <c r="X129" s="122"/>
      <c r="Y129" s="110" t="s">
        <v>19</v>
      </c>
      <c r="Z129" s="110"/>
      <c r="AA129" s="110"/>
      <c r="AB129" s="108"/>
      <c r="AC129" s="108"/>
      <c r="AD129" s="110" t="s">
        <v>20</v>
      </c>
      <c r="AE129" s="110"/>
      <c r="AF129" s="110"/>
      <c r="AG129" s="108"/>
      <c r="AH129" s="108"/>
      <c r="AI129" s="109"/>
    </row>
    <row r="130" spans="2:35" s="22" customFormat="1" ht="15" hidden="1" customHeight="1">
      <c r="B130" s="112"/>
      <c r="C130" s="124"/>
      <c r="D130" s="116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/>
      <c r="S130" s="118"/>
      <c r="T130" s="121"/>
      <c r="U130" s="121"/>
      <c r="V130" s="121"/>
      <c r="W130" s="121"/>
      <c r="X130" s="123"/>
      <c r="Y130" s="110"/>
      <c r="Z130" s="110"/>
      <c r="AA130" s="110"/>
      <c r="AB130" s="108"/>
      <c r="AC130" s="108"/>
      <c r="AD130" s="110"/>
      <c r="AE130" s="110"/>
      <c r="AF130" s="110"/>
      <c r="AG130" s="108"/>
      <c r="AH130" s="108"/>
      <c r="AI130" s="109"/>
    </row>
    <row r="131" spans="2:35" s="22" customFormat="1" ht="15" hidden="1" thickBot="1">
      <c r="B131" s="23" t="s">
        <v>51</v>
      </c>
      <c r="C131" s="24" t="str">
        <f>BIN2HEX(D131&amp;E131&amp;F131&amp;G131)&amp;BIN2HEX(H131&amp;I131&amp;J131&amp;K131)&amp;BIN2HEX(L131&amp;M131&amp;N131&amp;O131)&amp;BIN2HEX(P131&amp;Q131&amp;R131&amp;S131)&amp;BIN2HEX(T131&amp;U131&amp;V131&amp;W131)&amp;BIN2HEX(X131&amp;Y131&amp;Z131&amp;AA131)&amp;BIN2HEX(AB131&amp;AC131&amp;AD131&amp;AE131)&amp;BIN2HEX(AF131&amp;AG131&amp;AH131&amp;AI131)</f>
        <v>00000028</v>
      </c>
      <c r="D131" s="25">
        <v>0</v>
      </c>
      <c r="E131" s="25">
        <v>0</v>
      </c>
      <c r="F131" s="25">
        <v>0</v>
      </c>
      <c r="G131" s="25">
        <v>0</v>
      </c>
      <c r="H131" s="25">
        <v>0</v>
      </c>
      <c r="I131" s="25">
        <v>0</v>
      </c>
      <c r="J131" s="25">
        <v>0</v>
      </c>
      <c r="K131" s="25">
        <v>0</v>
      </c>
      <c r="L131" s="25">
        <v>0</v>
      </c>
      <c r="M131" s="25">
        <v>0</v>
      </c>
      <c r="N131" s="25">
        <v>0</v>
      </c>
      <c r="O131" s="25">
        <v>0</v>
      </c>
      <c r="P131" s="25">
        <v>0</v>
      </c>
      <c r="Q131" s="25">
        <v>0</v>
      </c>
      <c r="R131" s="25">
        <v>0</v>
      </c>
      <c r="S131" s="25">
        <v>0</v>
      </c>
      <c r="T131" s="25">
        <v>0</v>
      </c>
      <c r="U131" s="25">
        <v>0</v>
      </c>
      <c r="V131" s="25">
        <v>0</v>
      </c>
      <c r="W131" s="25">
        <v>0</v>
      </c>
      <c r="X131" s="25">
        <v>0</v>
      </c>
      <c r="Y131" s="25">
        <v>0</v>
      </c>
      <c r="Z131" s="25">
        <v>0</v>
      </c>
      <c r="AA131" s="25">
        <v>0</v>
      </c>
      <c r="AB131" s="25">
        <v>0</v>
      </c>
      <c r="AC131" s="25">
        <v>0</v>
      </c>
      <c r="AD131" s="29">
        <f>MOD(ROUNDDOWN(ROUNDDOWN(240/C30,0)/4,0),2)</f>
        <v>1</v>
      </c>
      <c r="AE131" s="29">
        <f>MOD(ROUNDDOWN(ROUNDDOWN(240/C30,0)/2,0),2)</f>
        <v>0</v>
      </c>
      <c r="AF131" s="29">
        <f>MOD(ROUNDDOWN(240/C30,0),2)</f>
        <v>1</v>
      </c>
      <c r="AG131" s="25">
        <v>0</v>
      </c>
      <c r="AH131" s="25">
        <v>0</v>
      </c>
      <c r="AI131" s="26">
        <v>0</v>
      </c>
    </row>
    <row r="132" spans="2:35" ht="15" hidden="1" thickBot="1"/>
    <row r="133" spans="2:35" s="22" customFormat="1" ht="15.6" hidden="1">
      <c r="B133" s="17" t="s">
        <v>280</v>
      </c>
      <c r="C133" s="18" t="s">
        <v>6</v>
      </c>
      <c r="D133" s="19">
        <v>31</v>
      </c>
      <c r="E133" s="19">
        <v>30</v>
      </c>
      <c r="F133" s="19">
        <v>29</v>
      </c>
      <c r="G133" s="19">
        <v>28</v>
      </c>
      <c r="H133" s="19">
        <v>27</v>
      </c>
      <c r="I133" s="19">
        <v>26</v>
      </c>
      <c r="J133" s="19">
        <v>25</v>
      </c>
      <c r="K133" s="19">
        <v>24</v>
      </c>
      <c r="L133" s="19">
        <v>23</v>
      </c>
      <c r="M133" s="19">
        <v>22</v>
      </c>
      <c r="N133" s="19">
        <v>21</v>
      </c>
      <c r="O133" s="19">
        <v>20</v>
      </c>
      <c r="P133" s="19">
        <v>19</v>
      </c>
      <c r="Q133" s="19">
        <v>18</v>
      </c>
      <c r="R133" s="19">
        <v>17</v>
      </c>
      <c r="S133" s="19">
        <v>16</v>
      </c>
      <c r="T133" s="19">
        <v>15</v>
      </c>
      <c r="U133" s="19">
        <v>14</v>
      </c>
      <c r="V133" s="19">
        <v>13</v>
      </c>
      <c r="W133" s="19">
        <v>12</v>
      </c>
      <c r="X133" s="19">
        <v>11</v>
      </c>
      <c r="Y133" s="19">
        <v>10</v>
      </c>
      <c r="Z133" s="19">
        <v>9</v>
      </c>
      <c r="AA133" s="19">
        <v>8</v>
      </c>
      <c r="AB133" s="19">
        <v>7</v>
      </c>
      <c r="AC133" s="19">
        <v>6</v>
      </c>
      <c r="AD133" s="19">
        <v>5</v>
      </c>
      <c r="AE133" s="19">
        <v>4</v>
      </c>
      <c r="AF133" s="19">
        <v>3</v>
      </c>
      <c r="AG133" s="19">
        <v>2</v>
      </c>
      <c r="AH133" s="19">
        <v>1</v>
      </c>
      <c r="AI133" s="20">
        <v>0</v>
      </c>
    </row>
    <row r="134" spans="2:35" s="22" customFormat="1" ht="15.75" hidden="1" customHeight="1">
      <c r="B134" s="111" t="s">
        <v>302</v>
      </c>
      <c r="C134" s="124"/>
      <c r="D134" s="113"/>
      <c r="E134" s="114"/>
      <c r="F134" s="114"/>
      <c r="G134" s="114"/>
      <c r="H134" s="114"/>
      <c r="I134" s="114"/>
      <c r="J134" s="114"/>
      <c r="K134" s="114"/>
      <c r="L134" s="114"/>
      <c r="M134" s="114"/>
      <c r="N134" s="114"/>
      <c r="O134" s="114"/>
      <c r="P134" s="114"/>
      <c r="Q134" s="114"/>
      <c r="R134" s="114"/>
      <c r="S134" s="115"/>
      <c r="T134" s="120" t="s">
        <v>38</v>
      </c>
      <c r="U134" s="120"/>
      <c r="V134" s="120" t="s">
        <v>39</v>
      </c>
      <c r="W134" s="120" t="s">
        <v>8</v>
      </c>
      <c r="X134" s="122"/>
      <c r="Y134" s="110" t="s">
        <v>19</v>
      </c>
      <c r="Z134" s="110"/>
      <c r="AA134" s="110"/>
      <c r="AB134" s="108"/>
      <c r="AC134" s="108"/>
      <c r="AD134" s="110" t="s">
        <v>20</v>
      </c>
      <c r="AE134" s="110"/>
      <c r="AF134" s="110"/>
      <c r="AG134" s="108"/>
      <c r="AH134" s="108"/>
      <c r="AI134" s="109"/>
    </row>
    <row r="135" spans="2:35" s="22" customFormat="1" ht="15" hidden="1" customHeight="1">
      <c r="B135" s="112"/>
      <c r="C135" s="124"/>
      <c r="D135" s="116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/>
      <c r="S135" s="118"/>
      <c r="T135" s="121"/>
      <c r="U135" s="121"/>
      <c r="V135" s="121"/>
      <c r="W135" s="121"/>
      <c r="X135" s="123"/>
      <c r="Y135" s="110"/>
      <c r="Z135" s="110"/>
      <c r="AA135" s="110"/>
      <c r="AB135" s="108"/>
      <c r="AC135" s="108"/>
      <c r="AD135" s="110"/>
      <c r="AE135" s="110"/>
      <c r="AF135" s="110"/>
      <c r="AG135" s="108"/>
      <c r="AH135" s="108"/>
      <c r="AI135" s="109"/>
    </row>
    <row r="136" spans="2:35" s="22" customFormat="1" ht="15" hidden="1" thickBot="1">
      <c r="B136" s="23" t="s">
        <v>52</v>
      </c>
      <c r="C136" s="24" t="str">
        <f>BIN2HEX(D136&amp;E136&amp;F136&amp;G136)&amp;BIN2HEX(H136&amp;I136&amp;J136&amp;K136)&amp;BIN2HEX(L136&amp;M136&amp;N136&amp;O136)&amp;BIN2HEX(P136&amp;Q136&amp;R136&amp;S136)&amp;BIN2HEX(T136&amp;U136&amp;V136&amp;W136)&amp;BIN2HEX(X136&amp;Y136&amp;Z136&amp;AA136)&amp;BIN2HEX(AB136&amp;AC136&amp;AD136&amp;AE136)&amp;BIN2HEX(AF136&amp;AG136&amp;AH136&amp;AI136)</f>
        <v>00000028</v>
      </c>
      <c r="D136" s="25">
        <v>0</v>
      </c>
      <c r="E136" s="25">
        <v>0</v>
      </c>
      <c r="F136" s="25">
        <v>0</v>
      </c>
      <c r="G136" s="25">
        <v>0</v>
      </c>
      <c r="H136" s="25">
        <v>0</v>
      </c>
      <c r="I136" s="25">
        <v>0</v>
      </c>
      <c r="J136" s="25">
        <v>0</v>
      </c>
      <c r="K136" s="25">
        <v>0</v>
      </c>
      <c r="L136" s="25">
        <v>0</v>
      </c>
      <c r="M136" s="25">
        <v>0</v>
      </c>
      <c r="N136" s="25">
        <v>0</v>
      </c>
      <c r="O136" s="25">
        <v>0</v>
      </c>
      <c r="P136" s="25">
        <v>0</v>
      </c>
      <c r="Q136" s="25">
        <v>0</v>
      </c>
      <c r="R136" s="25">
        <v>0</v>
      </c>
      <c r="S136" s="25">
        <v>0</v>
      </c>
      <c r="T136" s="25">
        <v>0</v>
      </c>
      <c r="U136" s="25">
        <v>0</v>
      </c>
      <c r="V136" s="25">
        <v>0</v>
      </c>
      <c r="W136" s="25">
        <v>0</v>
      </c>
      <c r="X136" s="25">
        <v>0</v>
      </c>
      <c r="Y136" s="25">
        <v>0</v>
      </c>
      <c r="Z136" s="25">
        <v>0</v>
      </c>
      <c r="AA136" s="25">
        <v>0</v>
      </c>
      <c r="AB136" s="25">
        <v>0</v>
      </c>
      <c r="AC136" s="25">
        <v>0</v>
      </c>
      <c r="AD136" s="29">
        <f>MOD(ROUNDDOWN(ROUNDDOWN(240/C30,0)/4,0),2)</f>
        <v>1</v>
      </c>
      <c r="AE136" s="29">
        <f>MOD(ROUNDDOWN(ROUNDDOWN(240/C30,0)/2,0),2)</f>
        <v>0</v>
      </c>
      <c r="AF136" s="29">
        <f>MOD(ROUNDDOWN(240/C30,0),2)</f>
        <v>1</v>
      </c>
      <c r="AG136" s="25">
        <v>0</v>
      </c>
      <c r="AH136" s="25">
        <v>0</v>
      </c>
      <c r="AI136" s="26">
        <v>0</v>
      </c>
    </row>
    <row r="137" spans="2:35" ht="15" hidden="1" thickBot="1"/>
    <row r="138" spans="2:35" s="22" customFormat="1" ht="15.6" hidden="1">
      <c r="B138" s="17" t="s">
        <v>280</v>
      </c>
      <c r="C138" s="18" t="s">
        <v>6</v>
      </c>
      <c r="D138" s="19">
        <v>31</v>
      </c>
      <c r="E138" s="19">
        <v>30</v>
      </c>
      <c r="F138" s="19">
        <v>29</v>
      </c>
      <c r="G138" s="19">
        <v>28</v>
      </c>
      <c r="H138" s="19">
        <v>27</v>
      </c>
      <c r="I138" s="19">
        <v>26</v>
      </c>
      <c r="J138" s="19">
        <v>25</v>
      </c>
      <c r="K138" s="19">
        <v>24</v>
      </c>
      <c r="L138" s="19">
        <v>23</v>
      </c>
      <c r="M138" s="19">
        <v>22</v>
      </c>
      <c r="N138" s="19">
        <v>21</v>
      </c>
      <c r="O138" s="19">
        <v>20</v>
      </c>
      <c r="P138" s="19">
        <v>19</v>
      </c>
      <c r="Q138" s="19">
        <v>18</v>
      </c>
      <c r="R138" s="19">
        <v>17</v>
      </c>
      <c r="S138" s="19">
        <v>16</v>
      </c>
      <c r="T138" s="19">
        <v>15</v>
      </c>
      <c r="U138" s="19">
        <v>14</v>
      </c>
      <c r="V138" s="19">
        <v>13</v>
      </c>
      <c r="W138" s="19">
        <v>12</v>
      </c>
      <c r="X138" s="19">
        <v>11</v>
      </c>
      <c r="Y138" s="19">
        <v>10</v>
      </c>
      <c r="Z138" s="19">
        <v>9</v>
      </c>
      <c r="AA138" s="19">
        <v>8</v>
      </c>
      <c r="AB138" s="19">
        <v>7</v>
      </c>
      <c r="AC138" s="19">
        <v>6</v>
      </c>
      <c r="AD138" s="19">
        <v>5</v>
      </c>
      <c r="AE138" s="19">
        <v>4</v>
      </c>
      <c r="AF138" s="19">
        <v>3</v>
      </c>
      <c r="AG138" s="19">
        <v>2</v>
      </c>
      <c r="AH138" s="19">
        <v>1</v>
      </c>
      <c r="AI138" s="20">
        <v>0</v>
      </c>
    </row>
    <row r="139" spans="2:35" s="22" customFormat="1" ht="15.75" hidden="1" customHeight="1">
      <c r="B139" s="111" t="s">
        <v>303</v>
      </c>
      <c r="C139" s="124"/>
      <c r="D139" s="113"/>
      <c r="E139" s="114"/>
      <c r="F139" s="114"/>
      <c r="G139" s="114"/>
      <c r="H139" s="114"/>
      <c r="I139" s="114"/>
      <c r="J139" s="114"/>
      <c r="K139" s="114"/>
      <c r="L139" s="114"/>
      <c r="M139" s="114"/>
      <c r="N139" s="114"/>
      <c r="O139" s="114"/>
      <c r="P139" s="114"/>
      <c r="Q139" s="115"/>
      <c r="R139" s="119" t="s">
        <v>17</v>
      </c>
      <c r="S139" s="113"/>
      <c r="T139" s="114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/>
      <c r="AH139" s="114"/>
      <c r="AI139" s="133"/>
    </row>
    <row r="140" spans="2:35" s="22" customFormat="1" ht="15" hidden="1" customHeight="1">
      <c r="B140" s="112"/>
      <c r="C140" s="124"/>
      <c r="D140" s="116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  <c r="O140" s="117"/>
      <c r="P140" s="117"/>
      <c r="Q140" s="118"/>
      <c r="R140" s="119"/>
      <c r="S140" s="116"/>
      <c r="T140" s="117"/>
      <c r="U140" s="117"/>
      <c r="V140" s="117"/>
      <c r="W140" s="117"/>
      <c r="X140" s="117"/>
      <c r="Y140" s="117"/>
      <c r="Z140" s="117"/>
      <c r="AA140" s="117"/>
      <c r="AB140" s="117"/>
      <c r="AC140" s="117"/>
      <c r="AD140" s="117"/>
      <c r="AE140" s="117"/>
      <c r="AF140" s="117"/>
      <c r="AG140" s="117"/>
      <c r="AH140" s="117"/>
      <c r="AI140" s="134"/>
    </row>
    <row r="141" spans="2:35" s="22" customFormat="1" ht="15" hidden="1" thickBot="1">
      <c r="B141" s="23" t="s">
        <v>53</v>
      </c>
      <c r="C141" s="24" t="str">
        <f>BIN2HEX(D141&amp;E141&amp;F141&amp;G141)&amp;BIN2HEX(H141&amp;I141&amp;J141&amp;K141)&amp;BIN2HEX(L141&amp;M141&amp;N141&amp;O141)&amp;BIN2HEX(P141&amp;Q141&amp;R141&amp;S141)&amp;BIN2HEX(T141&amp;U141&amp;V141&amp;W141)&amp;BIN2HEX(X141&amp;Y141&amp;Z141&amp;AA141)&amp;BIN2HEX(AB141&amp;AC141&amp;AD141&amp;AE141)&amp;BIN2HEX(AF141&amp;AG141&amp;AH141&amp;AI141)</f>
        <v>00020000</v>
      </c>
      <c r="D141" s="25">
        <v>0</v>
      </c>
      <c r="E141" s="25">
        <v>0</v>
      </c>
      <c r="F141" s="25">
        <v>0</v>
      </c>
      <c r="G141" s="25">
        <v>0</v>
      </c>
      <c r="H141" s="25">
        <v>0</v>
      </c>
      <c r="I141" s="25">
        <v>0</v>
      </c>
      <c r="J141" s="25">
        <v>0</v>
      </c>
      <c r="K141" s="25">
        <v>0</v>
      </c>
      <c r="L141" s="25">
        <v>0</v>
      </c>
      <c r="M141" s="25">
        <v>0</v>
      </c>
      <c r="N141" s="25">
        <v>0</v>
      </c>
      <c r="O141" s="25">
        <v>0</v>
      </c>
      <c r="P141" s="25">
        <v>0</v>
      </c>
      <c r="Q141" s="25">
        <v>0</v>
      </c>
      <c r="R141" s="25">
        <v>1</v>
      </c>
      <c r="S141" s="25">
        <v>0</v>
      </c>
      <c r="T141" s="25">
        <v>0</v>
      </c>
      <c r="U141" s="25">
        <v>0</v>
      </c>
      <c r="V141" s="25">
        <v>0</v>
      </c>
      <c r="W141" s="25">
        <v>0</v>
      </c>
      <c r="X141" s="25">
        <v>0</v>
      </c>
      <c r="Y141" s="25">
        <v>0</v>
      </c>
      <c r="Z141" s="25">
        <v>0</v>
      </c>
      <c r="AA141" s="25">
        <v>0</v>
      </c>
      <c r="AB141" s="25">
        <v>0</v>
      </c>
      <c r="AC141" s="25">
        <v>0</v>
      </c>
      <c r="AD141" s="25">
        <v>0</v>
      </c>
      <c r="AE141" s="25">
        <v>0</v>
      </c>
      <c r="AF141" s="25">
        <v>0</v>
      </c>
      <c r="AG141" s="25">
        <v>0</v>
      </c>
      <c r="AH141" s="25">
        <v>0</v>
      </c>
      <c r="AI141" s="26">
        <v>0</v>
      </c>
    </row>
    <row r="142" spans="2:35" ht="15" hidden="1" thickBot="1"/>
    <row r="143" spans="2:35" s="22" customFormat="1" ht="15.6" hidden="1">
      <c r="B143" s="17" t="s">
        <v>280</v>
      </c>
      <c r="C143" s="18" t="s">
        <v>6</v>
      </c>
      <c r="D143" s="19">
        <v>31</v>
      </c>
      <c r="E143" s="19">
        <v>30</v>
      </c>
      <c r="F143" s="19">
        <v>29</v>
      </c>
      <c r="G143" s="19">
        <v>28</v>
      </c>
      <c r="H143" s="19">
        <v>27</v>
      </c>
      <c r="I143" s="19">
        <v>26</v>
      </c>
      <c r="J143" s="19">
        <v>25</v>
      </c>
      <c r="K143" s="19">
        <v>24</v>
      </c>
      <c r="L143" s="19">
        <v>23</v>
      </c>
      <c r="M143" s="19">
        <v>22</v>
      </c>
      <c r="N143" s="19">
        <v>21</v>
      </c>
      <c r="O143" s="19">
        <v>20</v>
      </c>
      <c r="P143" s="19">
        <v>19</v>
      </c>
      <c r="Q143" s="19">
        <v>18</v>
      </c>
      <c r="R143" s="19">
        <v>17</v>
      </c>
      <c r="S143" s="19">
        <v>16</v>
      </c>
      <c r="T143" s="19">
        <v>15</v>
      </c>
      <c r="U143" s="19">
        <v>14</v>
      </c>
      <c r="V143" s="19">
        <v>13</v>
      </c>
      <c r="W143" s="19">
        <v>12</v>
      </c>
      <c r="X143" s="19">
        <v>11</v>
      </c>
      <c r="Y143" s="19">
        <v>10</v>
      </c>
      <c r="Z143" s="19">
        <v>9</v>
      </c>
      <c r="AA143" s="19">
        <v>8</v>
      </c>
      <c r="AB143" s="19">
        <v>7</v>
      </c>
      <c r="AC143" s="19">
        <v>6</v>
      </c>
      <c r="AD143" s="19">
        <v>5</v>
      </c>
      <c r="AE143" s="19">
        <v>4</v>
      </c>
      <c r="AF143" s="19">
        <v>3</v>
      </c>
      <c r="AG143" s="19">
        <v>2</v>
      </c>
      <c r="AH143" s="19">
        <v>1</v>
      </c>
      <c r="AI143" s="20">
        <v>0</v>
      </c>
    </row>
    <row r="144" spans="2:35" s="22" customFormat="1" ht="15.75" hidden="1" customHeight="1">
      <c r="B144" s="111" t="s">
        <v>304</v>
      </c>
      <c r="C144" s="124"/>
      <c r="D144" s="127"/>
      <c r="E144" s="128"/>
      <c r="F144" s="128"/>
      <c r="G144" s="128"/>
      <c r="H144" s="128"/>
      <c r="I144" s="128"/>
      <c r="J144" s="128"/>
      <c r="K144" s="128"/>
      <c r="L144" s="128"/>
      <c r="M144" s="128"/>
      <c r="N144" s="128"/>
      <c r="O144" s="128"/>
      <c r="P144" s="128"/>
      <c r="Q144" s="128"/>
      <c r="R144" s="128"/>
      <c r="S144" s="128"/>
      <c r="T144" s="128"/>
      <c r="U144" s="128"/>
      <c r="V144" s="128"/>
      <c r="W144" s="128"/>
      <c r="X144" s="128"/>
      <c r="Y144" s="128"/>
      <c r="Z144" s="128"/>
      <c r="AA144" s="128"/>
      <c r="AB144" s="128"/>
      <c r="AC144" s="129"/>
      <c r="AD144" s="110" t="s">
        <v>20</v>
      </c>
      <c r="AE144" s="110"/>
      <c r="AF144" s="110"/>
      <c r="AG144" s="108"/>
      <c r="AH144" s="108"/>
      <c r="AI144" s="109"/>
    </row>
    <row r="145" spans="2:35" s="22" customFormat="1" ht="15" hidden="1" customHeight="1">
      <c r="B145" s="112"/>
      <c r="C145" s="124"/>
      <c r="D145" s="130"/>
      <c r="E145" s="131"/>
      <c r="F145" s="131"/>
      <c r="G145" s="131"/>
      <c r="H145" s="131"/>
      <c r="I145" s="131"/>
      <c r="J145" s="131"/>
      <c r="K145" s="131"/>
      <c r="L145" s="131"/>
      <c r="M145" s="131"/>
      <c r="N145" s="131"/>
      <c r="O145" s="131"/>
      <c r="P145" s="131"/>
      <c r="Q145" s="131"/>
      <c r="R145" s="131"/>
      <c r="S145" s="131"/>
      <c r="T145" s="131"/>
      <c r="U145" s="131"/>
      <c r="V145" s="131"/>
      <c r="W145" s="131"/>
      <c r="X145" s="131"/>
      <c r="Y145" s="131"/>
      <c r="Z145" s="131"/>
      <c r="AA145" s="131"/>
      <c r="AB145" s="131"/>
      <c r="AC145" s="132"/>
      <c r="AD145" s="110"/>
      <c r="AE145" s="110"/>
      <c r="AF145" s="110"/>
      <c r="AG145" s="108"/>
      <c r="AH145" s="108"/>
      <c r="AI145" s="109"/>
    </row>
    <row r="146" spans="2:35" s="22" customFormat="1" ht="15" hidden="1" thickBot="1">
      <c r="B146" s="23" t="s">
        <v>54</v>
      </c>
      <c r="C146" s="24" t="str">
        <f>BIN2HEX(D146&amp;E146&amp;F146&amp;G146)&amp;BIN2HEX(H146&amp;I146&amp;J146&amp;K146)&amp;BIN2HEX(L146&amp;M146&amp;N146&amp;O146)&amp;BIN2HEX(P146&amp;Q146&amp;R146&amp;S146)&amp;BIN2HEX(T146&amp;U146&amp;V146&amp;W146)&amp;BIN2HEX(X146&amp;Y146&amp;Z146&amp;AA146)&amp;BIN2HEX(AB146&amp;AC146&amp;AD146&amp;AE146)&amp;BIN2HEX(AF146&amp;AG146&amp;AH146&amp;AI146)</f>
        <v>00000028</v>
      </c>
      <c r="D146" s="25">
        <v>0</v>
      </c>
      <c r="E146" s="25">
        <v>0</v>
      </c>
      <c r="F146" s="25">
        <v>0</v>
      </c>
      <c r="G146" s="25">
        <v>0</v>
      </c>
      <c r="H146" s="25">
        <v>0</v>
      </c>
      <c r="I146" s="25">
        <v>0</v>
      </c>
      <c r="J146" s="25">
        <v>0</v>
      </c>
      <c r="K146" s="25">
        <v>0</v>
      </c>
      <c r="L146" s="25">
        <v>0</v>
      </c>
      <c r="M146" s="25">
        <v>0</v>
      </c>
      <c r="N146" s="25">
        <v>0</v>
      </c>
      <c r="O146" s="25">
        <v>0</v>
      </c>
      <c r="P146" s="25">
        <v>0</v>
      </c>
      <c r="Q146" s="25">
        <v>0</v>
      </c>
      <c r="R146" s="25">
        <v>0</v>
      </c>
      <c r="S146" s="25">
        <v>0</v>
      </c>
      <c r="T146" s="25">
        <v>0</v>
      </c>
      <c r="U146" s="25">
        <v>0</v>
      </c>
      <c r="V146" s="25">
        <v>0</v>
      </c>
      <c r="W146" s="25">
        <v>0</v>
      </c>
      <c r="X146" s="25">
        <v>0</v>
      </c>
      <c r="Y146" s="25">
        <v>0</v>
      </c>
      <c r="Z146" s="25">
        <v>0</v>
      </c>
      <c r="AA146" s="25">
        <v>0</v>
      </c>
      <c r="AB146" s="25">
        <v>0</v>
      </c>
      <c r="AC146" s="25">
        <v>0</v>
      </c>
      <c r="AD146" s="29">
        <f>MOD(ROUNDDOWN(ROUNDDOWN(240/C27,0)/4,0),2)</f>
        <v>1</v>
      </c>
      <c r="AE146" s="29">
        <f>MOD(ROUNDDOWN(ROUNDDOWN(240/C27,0)/2,0),2)</f>
        <v>0</v>
      </c>
      <c r="AF146" s="29">
        <f>MOD(ROUNDDOWN(240/C27,0),2)</f>
        <v>1</v>
      </c>
      <c r="AG146" s="25">
        <v>0</v>
      </c>
      <c r="AH146" s="25">
        <v>0</v>
      </c>
      <c r="AI146" s="26">
        <v>0</v>
      </c>
    </row>
    <row r="147" spans="2:35" ht="15" hidden="1" thickBot="1"/>
    <row r="148" spans="2:35" s="22" customFormat="1" ht="15.6" hidden="1">
      <c r="B148" s="17" t="s">
        <v>280</v>
      </c>
      <c r="C148" s="18" t="s">
        <v>6</v>
      </c>
      <c r="D148" s="19">
        <v>31</v>
      </c>
      <c r="E148" s="19">
        <v>30</v>
      </c>
      <c r="F148" s="19">
        <v>29</v>
      </c>
      <c r="G148" s="19">
        <v>28</v>
      </c>
      <c r="H148" s="19">
        <v>27</v>
      </c>
      <c r="I148" s="19">
        <v>26</v>
      </c>
      <c r="J148" s="19">
        <v>25</v>
      </c>
      <c r="K148" s="19">
        <v>24</v>
      </c>
      <c r="L148" s="19">
        <v>23</v>
      </c>
      <c r="M148" s="19">
        <v>22</v>
      </c>
      <c r="N148" s="19">
        <v>21</v>
      </c>
      <c r="O148" s="19">
        <v>20</v>
      </c>
      <c r="P148" s="19">
        <v>19</v>
      </c>
      <c r="Q148" s="19">
        <v>18</v>
      </c>
      <c r="R148" s="19">
        <v>17</v>
      </c>
      <c r="S148" s="19">
        <v>16</v>
      </c>
      <c r="T148" s="19">
        <v>15</v>
      </c>
      <c r="U148" s="19">
        <v>14</v>
      </c>
      <c r="V148" s="19">
        <v>13</v>
      </c>
      <c r="W148" s="19">
        <v>12</v>
      </c>
      <c r="X148" s="19">
        <v>11</v>
      </c>
      <c r="Y148" s="19">
        <v>10</v>
      </c>
      <c r="Z148" s="19">
        <v>9</v>
      </c>
      <c r="AA148" s="19">
        <v>8</v>
      </c>
      <c r="AB148" s="19">
        <v>7</v>
      </c>
      <c r="AC148" s="19">
        <v>6</v>
      </c>
      <c r="AD148" s="19">
        <v>5</v>
      </c>
      <c r="AE148" s="19">
        <v>4</v>
      </c>
      <c r="AF148" s="19">
        <v>3</v>
      </c>
      <c r="AG148" s="19">
        <v>2</v>
      </c>
      <c r="AH148" s="19">
        <v>1</v>
      </c>
      <c r="AI148" s="20">
        <v>0</v>
      </c>
    </row>
    <row r="149" spans="2:35" s="22" customFormat="1" ht="15.75" hidden="1" customHeight="1">
      <c r="B149" s="111" t="s">
        <v>305</v>
      </c>
      <c r="C149" s="124"/>
      <c r="D149" s="127"/>
      <c r="E149" s="128"/>
      <c r="F149" s="128"/>
      <c r="G149" s="128"/>
      <c r="H149" s="128"/>
      <c r="I149" s="128"/>
      <c r="J149" s="128"/>
      <c r="K149" s="128"/>
      <c r="L149" s="128"/>
      <c r="M149" s="128"/>
      <c r="N149" s="128"/>
      <c r="O149" s="128"/>
      <c r="P149" s="128"/>
      <c r="Q149" s="128"/>
      <c r="R149" s="128"/>
      <c r="S149" s="128"/>
      <c r="T149" s="128"/>
      <c r="U149" s="128"/>
      <c r="V149" s="128"/>
      <c r="W149" s="128"/>
      <c r="X149" s="128"/>
      <c r="Y149" s="128"/>
      <c r="Z149" s="128"/>
      <c r="AA149" s="128"/>
      <c r="AB149" s="128"/>
      <c r="AC149" s="129"/>
      <c r="AD149" s="110" t="s">
        <v>20</v>
      </c>
      <c r="AE149" s="110"/>
      <c r="AF149" s="110"/>
      <c r="AG149" s="108"/>
      <c r="AH149" s="108"/>
      <c r="AI149" s="109"/>
    </row>
    <row r="150" spans="2:35" s="22" customFormat="1" ht="15" hidden="1" customHeight="1">
      <c r="B150" s="112"/>
      <c r="C150" s="124"/>
      <c r="D150" s="130"/>
      <c r="E150" s="131"/>
      <c r="F150" s="131"/>
      <c r="G150" s="131"/>
      <c r="H150" s="131"/>
      <c r="I150" s="131"/>
      <c r="J150" s="131"/>
      <c r="K150" s="131"/>
      <c r="L150" s="131"/>
      <c r="M150" s="131"/>
      <c r="N150" s="131"/>
      <c r="O150" s="131"/>
      <c r="P150" s="131"/>
      <c r="Q150" s="131"/>
      <c r="R150" s="131"/>
      <c r="S150" s="131"/>
      <c r="T150" s="131"/>
      <c r="U150" s="131"/>
      <c r="V150" s="131"/>
      <c r="W150" s="131"/>
      <c r="X150" s="131"/>
      <c r="Y150" s="131"/>
      <c r="Z150" s="131"/>
      <c r="AA150" s="131"/>
      <c r="AB150" s="131"/>
      <c r="AC150" s="132"/>
      <c r="AD150" s="110"/>
      <c r="AE150" s="110"/>
      <c r="AF150" s="110"/>
      <c r="AG150" s="108"/>
      <c r="AH150" s="108"/>
      <c r="AI150" s="109"/>
    </row>
    <row r="151" spans="2:35" s="22" customFormat="1" ht="15" hidden="1" thickBot="1">
      <c r="B151" s="23" t="s">
        <v>55</v>
      </c>
      <c r="C151" s="24" t="str">
        <f>BIN2HEX(D151&amp;E151&amp;F151&amp;G151)&amp;BIN2HEX(H151&amp;I151&amp;J151&amp;K151)&amp;BIN2HEX(L151&amp;M151&amp;N151&amp;O151)&amp;BIN2HEX(P151&amp;Q151&amp;R151&amp;S151)&amp;BIN2HEX(T151&amp;U151&amp;V151&amp;W151)&amp;BIN2HEX(X151&amp;Y151&amp;Z151&amp;AA151)&amp;BIN2HEX(AB151&amp;AC151&amp;AD151&amp;AE151)&amp;BIN2HEX(AF151&amp;AG151&amp;AH151&amp;AI151)</f>
        <v>00000028</v>
      </c>
      <c r="D151" s="25">
        <v>0</v>
      </c>
      <c r="E151" s="25">
        <v>0</v>
      </c>
      <c r="F151" s="25">
        <v>0</v>
      </c>
      <c r="G151" s="25">
        <v>0</v>
      </c>
      <c r="H151" s="25">
        <v>0</v>
      </c>
      <c r="I151" s="25">
        <v>0</v>
      </c>
      <c r="J151" s="25">
        <v>0</v>
      </c>
      <c r="K151" s="25">
        <v>0</v>
      </c>
      <c r="L151" s="25">
        <v>0</v>
      </c>
      <c r="M151" s="25">
        <v>0</v>
      </c>
      <c r="N151" s="25">
        <v>0</v>
      </c>
      <c r="O151" s="25">
        <v>0</v>
      </c>
      <c r="P151" s="25">
        <v>0</v>
      </c>
      <c r="Q151" s="25">
        <v>0</v>
      </c>
      <c r="R151" s="25">
        <v>0</v>
      </c>
      <c r="S151" s="25">
        <v>0</v>
      </c>
      <c r="T151" s="25">
        <v>0</v>
      </c>
      <c r="U151" s="25">
        <v>0</v>
      </c>
      <c r="V151" s="25">
        <v>0</v>
      </c>
      <c r="W151" s="25">
        <v>0</v>
      </c>
      <c r="X151" s="25">
        <v>0</v>
      </c>
      <c r="Y151" s="25">
        <v>0</v>
      </c>
      <c r="Z151" s="25">
        <v>0</v>
      </c>
      <c r="AA151" s="25">
        <v>0</v>
      </c>
      <c r="AB151" s="25">
        <v>0</v>
      </c>
      <c r="AC151" s="25">
        <v>0</v>
      </c>
      <c r="AD151" s="29">
        <f>MOD(ROUNDDOWN(ROUNDDOWN(240/C27,0)/4,0),2)</f>
        <v>1</v>
      </c>
      <c r="AE151" s="29">
        <f>MOD(ROUNDDOWN(ROUNDDOWN(240/C27,0)/2,0),2)</f>
        <v>0</v>
      </c>
      <c r="AF151" s="29">
        <f>MOD(ROUNDDOWN(240/C27,0),2)</f>
        <v>1</v>
      </c>
      <c r="AG151" s="25">
        <v>0</v>
      </c>
      <c r="AH151" s="25">
        <v>0</v>
      </c>
      <c r="AI151" s="26">
        <v>0</v>
      </c>
    </row>
    <row r="152" spans="2:35" ht="15" hidden="1" thickBot="1"/>
    <row r="153" spans="2:35" s="22" customFormat="1" ht="15.6" hidden="1">
      <c r="B153" s="17" t="s">
        <v>280</v>
      </c>
      <c r="C153" s="18" t="s">
        <v>6</v>
      </c>
      <c r="D153" s="19">
        <v>31</v>
      </c>
      <c r="E153" s="19">
        <v>30</v>
      </c>
      <c r="F153" s="19">
        <v>29</v>
      </c>
      <c r="G153" s="19">
        <v>28</v>
      </c>
      <c r="H153" s="19">
        <v>27</v>
      </c>
      <c r="I153" s="19">
        <v>26</v>
      </c>
      <c r="J153" s="19">
        <v>25</v>
      </c>
      <c r="K153" s="19">
        <v>24</v>
      </c>
      <c r="L153" s="19">
        <v>23</v>
      </c>
      <c r="M153" s="19">
        <v>22</v>
      </c>
      <c r="N153" s="19">
        <v>21</v>
      </c>
      <c r="O153" s="19">
        <v>20</v>
      </c>
      <c r="P153" s="19">
        <v>19</v>
      </c>
      <c r="Q153" s="19">
        <v>18</v>
      </c>
      <c r="R153" s="19">
        <v>17</v>
      </c>
      <c r="S153" s="19">
        <v>16</v>
      </c>
      <c r="T153" s="19">
        <v>15</v>
      </c>
      <c r="U153" s="19">
        <v>14</v>
      </c>
      <c r="V153" s="19">
        <v>13</v>
      </c>
      <c r="W153" s="19">
        <v>12</v>
      </c>
      <c r="X153" s="19">
        <v>11</v>
      </c>
      <c r="Y153" s="19">
        <v>10</v>
      </c>
      <c r="Z153" s="19">
        <v>9</v>
      </c>
      <c r="AA153" s="19">
        <v>8</v>
      </c>
      <c r="AB153" s="19">
        <v>7</v>
      </c>
      <c r="AC153" s="19">
        <v>6</v>
      </c>
      <c r="AD153" s="19">
        <v>5</v>
      </c>
      <c r="AE153" s="19">
        <v>4</v>
      </c>
      <c r="AF153" s="19">
        <v>3</v>
      </c>
      <c r="AG153" s="19">
        <v>2</v>
      </c>
      <c r="AH153" s="19">
        <v>1</v>
      </c>
      <c r="AI153" s="20">
        <v>0</v>
      </c>
    </row>
    <row r="154" spans="2:35" s="22" customFormat="1" ht="15.75" hidden="1" customHeight="1">
      <c r="B154" s="111" t="s">
        <v>306</v>
      </c>
      <c r="C154" s="124"/>
      <c r="D154" s="127"/>
      <c r="E154" s="128"/>
      <c r="F154" s="128"/>
      <c r="G154" s="128"/>
      <c r="H154" s="128"/>
      <c r="I154" s="128"/>
      <c r="J154" s="128"/>
      <c r="K154" s="128"/>
      <c r="L154" s="128"/>
      <c r="M154" s="128"/>
      <c r="N154" s="128"/>
      <c r="O154" s="128"/>
      <c r="P154" s="128"/>
      <c r="Q154" s="128"/>
      <c r="R154" s="128"/>
      <c r="S154" s="128"/>
      <c r="T154" s="128"/>
      <c r="U154" s="128"/>
      <c r="V154" s="128"/>
      <c r="W154" s="128"/>
      <c r="X154" s="128"/>
      <c r="Y154" s="128"/>
      <c r="Z154" s="128"/>
      <c r="AA154" s="128"/>
      <c r="AB154" s="128"/>
      <c r="AC154" s="129"/>
      <c r="AD154" s="110" t="s">
        <v>20</v>
      </c>
      <c r="AE154" s="110"/>
      <c r="AF154" s="110"/>
      <c r="AG154" s="108"/>
      <c r="AH154" s="108"/>
      <c r="AI154" s="109"/>
    </row>
    <row r="155" spans="2:35" s="22" customFormat="1" ht="15" hidden="1" customHeight="1">
      <c r="B155" s="112"/>
      <c r="C155" s="124"/>
      <c r="D155" s="130"/>
      <c r="E155" s="131"/>
      <c r="F155" s="131"/>
      <c r="G155" s="131"/>
      <c r="H155" s="131"/>
      <c r="I155" s="131"/>
      <c r="J155" s="131"/>
      <c r="K155" s="131"/>
      <c r="L155" s="131"/>
      <c r="M155" s="131"/>
      <c r="N155" s="131"/>
      <c r="O155" s="131"/>
      <c r="P155" s="131"/>
      <c r="Q155" s="131"/>
      <c r="R155" s="131"/>
      <c r="S155" s="131"/>
      <c r="T155" s="131"/>
      <c r="U155" s="131"/>
      <c r="V155" s="131"/>
      <c r="W155" s="131"/>
      <c r="X155" s="131"/>
      <c r="Y155" s="131"/>
      <c r="Z155" s="131"/>
      <c r="AA155" s="131"/>
      <c r="AB155" s="131"/>
      <c r="AC155" s="132"/>
      <c r="AD155" s="110"/>
      <c r="AE155" s="110"/>
      <c r="AF155" s="110"/>
      <c r="AG155" s="108"/>
      <c r="AH155" s="108"/>
      <c r="AI155" s="109"/>
    </row>
    <row r="156" spans="2:35" s="22" customFormat="1" ht="15" hidden="1" thickBot="1">
      <c r="B156" s="23" t="s">
        <v>56</v>
      </c>
      <c r="C156" s="24" t="str">
        <f>BIN2HEX(D156&amp;E156&amp;F156&amp;G156)&amp;BIN2HEX(H156&amp;I156&amp;J156&amp;K156)&amp;BIN2HEX(L156&amp;M156&amp;N156&amp;O156)&amp;BIN2HEX(P156&amp;Q156&amp;R156&amp;S156)&amp;BIN2HEX(T156&amp;U156&amp;V156&amp;W156)&amp;BIN2HEX(X156&amp;Y156&amp;Z156&amp;AA156)&amp;BIN2HEX(AB156&amp;AC156&amp;AD156&amp;AE156)&amp;BIN2HEX(AF156&amp;AG156&amp;AH156&amp;AI156)</f>
        <v>00000028</v>
      </c>
      <c r="D156" s="25">
        <v>0</v>
      </c>
      <c r="E156" s="25">
        <v>0</v>
      </c>
      <c r="F156" s="25">
        <v>0</v>
      </c>
      <c r="G156" s="25">
        <v>0</v>
      </c>
      <c r="H156" s="25">
        <v>0</v>
      </c>
      <c r="I156" s="25">
        <v>0</v>
      </c>
      <c r="J156" s="25">
        <v>0</v>
      </c>
      <c r="K156" s="25">
        <v>0</v>
      </c>
      <c r="L156" s="25">
        <v>0</v>
      </c>
      <c r="M156" s="25">
        <v>0</v>
      </c>
      <c r="N156" s="25">
        <v>0</v>
      </c>
      <c r="O156" s="25">
        <v>0</v>
      </c>
      <c r="P156" s="25">
        <v>0</v>
      </c>
      <c r="Q156" s="25">
        <v>0</v>
      </c>
      <c r="R156" s="25">
        <v>0</v>
      </c>
      <c r="S156" s="25">
        <v>0</v>
      </c>
      <c r="T156" s="25">
        <v>0</v>
      </c>
      <c r="U156" s="25">
        <v>0</v>
      </c>
      <c r="V156" s="25">
        <v>0</v>
      </c>
      <c r="W156" s="25">
        <v>0</v>
      </c>
      <c r="X156" s="25">
        <v>0</v>
      </c>
      <c r="Y156" s="25">
        <v>0</v>
      </c>
      <c r="Z156" s="25">
        <v>0</v>
      </c>
      <c r="AA156" s="25">
        <v>0</v>
      </c>
      <c r="AB156" s="25">
        <v>0</v>
      </c>
      <c r="AC156" s="25">
        <v>0</v>
      </c>
      <c r="AD156" s="29">
        <f>MOD(ROUNDDOWN(ROUNDDOWN(240/C27,0)/4,0),2)</f>
        <v>1</v>
      </c>
      <c r="AE156" s="29">
        <f>MOD(ROUNDDOWN(ROUNDDOWN(240/C27,0)/2,0),2)</f>
        <v>0</v>
      </c>
      <c r="AF156" s="29">
        <f>MOD(ROUNDDOWN(240/C27,0),2)</f>
        <v>1</v>
      </c>
      <c r="AG156" s="25">
        <v>0</v>
      </c>
      <c r="AH156" s="25">
        <v>0</v>
      </c>
      <c r="AI156" s="26">
        <v>0</v>
      </c>
    </row>
    <row r="157" spans="2:35" ht="15" hidden="1" thickBot="1"/>
    <row r="158" spans="2:35" s="22" customFormat="1" ht="15.6" hidden="1">
      <c r="B158" s="17" t="s">
        <v>280</v>
      </c>
      <c r="C158" s="18" t="s">
        <v>6</v>
      </c>
      <c r="D158" s="19">
        <v>31</v>
      </c>
      <c r="E158" s="19">
        <v>30</v>
      </c>
      <c r="F158" s="19">
        <v>29</v>
      </c>
      <c r="G158" s="19">
        <v>28</v>
      </c>
      <c r="H158" s="19">
        <v>27</v>
      </c>
      <c r="I158" s="19">
        <v>26</v>
      </c>
      <c r="J158" s="19">
        <v>25</v>
      </c>
      <c r="K158" s="19">
        <v>24</v>
      </c>
      <c r="L158" s="19">
        <v>23</v>
      </c>
      <c r="M158" s="19">
        <v>22</v>
      </c>
      <c r="N158" s="19">
        <v>21</v>
      </c>
      <c r="O158" s="19">
        <v>20</v>
      </c>
      <c r="P158" s="19">
        <v>19</v>
      </c>
      <c r="Q158" s="19">
        <v>18</v>
      </c>
      <c r="R158" s="19">
        <v>17</v>
      </c>
      <c r="S158" s="19">
        <v>16</v>
      </c>
      <c r="T158" s="19">
        <v>15</v>
      </c>
      <c r="U158" s="19">
        <v>14</v>
      </c>
      <c r="V158" s="19">
        <v>13</v>
      </c>
      <c r="W158" s="19">
        <v>12</v>
      </c>
      <c r="X158" s="19">
        <v>11</v>
      </c>
      <c r="Y158" s="19">
        <v>10</v>
      </c>
      <c r="Z158" s="19">
        <v>9</v>
      </c>
      <c r="AA158" s="19">
        <v>8</v>
      </c>
      <c r="AB158" s="19">
        <v>7</v>
      </c>
      <c r="AC158" s="19">
        <v>6</v>
      </c>
      <c r="AD158" s="19">
        <v>5</v>
      </c>
      <c r="AE158" s="19">
        <v>4</v>
      </c>
      <c r="AF158" s="19">
        <v>3</v>
      </c>
      <c r="AG158" s="19">
        <v>2</v>
      </c>
      <c r="AH158" s="19">
        <v>1</v>
      </c>
      <c r="AI158" s="20">
        <v>0</v>
      </c>
    </row>
    <row r="159" spans="2:35" s="22" customFormat="1" ht="15.75" hidden="1" customHeight="1">
      <c r="B159" s="111" t="s">
        <v>307</v>
      </c>
      <c r="C159" s="124"/>
      <c r="D159" s="127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  <c r="AA159" s="128"/>
      <c r="AB159" s="128"/>
      <c r="AC159" s="129"/>
      <c r="AD159" s="110" t="s">
        <v>20</v>
      </c>
      <c r="AE159" s="110"/>
      <c r="AF159" s="110"/>
      <c r="AG159" s="108"/>
      <c r="AH159" s="108"/>
      <c r="AI159" s="109"/>
    </row>
    <row r="160" spans="2:35" s="22" customFormat="1" ht="15" hidden="1" customHeight="1">
      <c r="B160" s="112"/>
      <c r="C160" s="124"/>
      <c r="D160" s="130"/>
      <c r="E160" s="131"/>
      <c r="F160" s="131"/>
      <c r="G160" s="131"/>
      <c r="H160" s="131"/>
      <c r="I160" s="131"/>
      <c r="J160" s="131"/>
      <c r="K160" s="131"/>
      <c r="L160" s="131"/>
      <c r="M160" s="131"/>
      <c r="N160" s="131"/>
      <c r="O160" s="131"/>
      <c r="P160" s="131"/>
      <c r="Q160" s="131"/>
      <c r="R160" s="131"/>
      <c r="S160" s="131"/>
      <c r="T160" s="131"/>
      <c r="U160" s="131"/>
      <c r="V160" s="131"/>
      <c r="W160" s="131"/>
      <c r="X160" s="131"/>
      <c r="Y160" s="131"/>
      <c r="Z160" s="131"/>
      <c r="AA160" s="131"/>
      <c r="AB160" s="131"/>
      <c r="AC160" s="132"/>
      <c r="AD160" s="110"/>
      <c r="AE160" s="110"/>
      <c r="AF160" s="110"/>
      <c r="AG160" s="108"/>
      <c r="AH160" s="108"/>
      <c r="AI160" s="109"/>
    </row>
    <row r="161" spans="2:35" s="22" customFormat="1" ht="15" hidden="1" thickBot="1">
      <c r="B161" s="23" t="s">
        <v>57</v>
      </c>
      <c r="C161" s="24" t="str">
        <f>BIN2HEX(D161&amp;E161&amp;F161&amp;G161)&amp;BIN2HEX(H161&amp;I161&amp;J161&amp;K161)&amp;BIN2HEX(L161&amp;M161&amp;N161&amp;O161)&amp;BIN2HEX(P161&amp;Q161&amp;R161&amp;S161)&amp;BIN2HEX(T161&amp;U161&amp;V161&amp;W161)&amp;BIN2HEX(X161&amp;Y161&amp;Z161&amp;AA161)&amp;BIN2HEX(AB161&amp;AC161&amp;AD161&amp;AE161)&amp;BIN2HEX(AF161&amp;AG161&amp;AH161&amp;AI161)</f>
        <v>00000028</v>
      </c>
      <c r="D161" s="25">
        <v>0</v>
      </c>
      <c r="E161" s="25">
        <v>0</v>
      </c>
      <c r="F161" s="25">
        <v>0</v>
      </c>
      <c r="G161" s="25">
        <v>0</v>
      </c>
      <c r="H161" s="25">
        <v>0</v>
      </c>
      <c r="I161" s="25">
        <v>0</v>
      </c>
      <c r="J161" s="25">
        <v>0</v>
      </c>
      <c r="K161" s="25">
        <v>0</v>
      </c>
      <c r="L161" s="25">
        <v>0</v>
      </c>
      <c r="M161" s="25">
        <v>0</v>
      </c>
      <c r="N161" s="25">
        <v>0</v>
      </c>
      <c r="O161" s="25">
        <v>0</v>
      </c>
      <c r="P161" s="25">
        <v>0</v>
      </c>
      <c r="Q161" s="25">
        <v>0</v>
      </c>
      <c r="R161" s="25">
        <v>0</v>
      </c>
      <c r="S161" s="25">
        <v>0</v>
      </c>
      <c r="T161" s="25">
        <v>0</v>
      </c>
      <c r="U161" s="25">
        <v>0</v>
      </c>
      <c r="V161" s="25">
        <v>0</v>
      </c>
      <c r="W161" s="25">
        <v>0</v>
      </c>
      <c r="X161" s="25">
        <v>0</v>
      </c>
      <c r="Y161" s="25">
        <v>0</v>
      </c>
      <c r="Z161" s="25">
        <v>0</v>
      </c>
      <c r="AA161" s="25">
        <v>0</v>
      </c>
      <c r="AB161" s="25">
        <v>0</v>
      </c>
      <c r="AC161" s="25">
        <v>0</v>
      </c>
      <c r="AD161" s="29">
        <f>MOD(ROUNDDOWN(ROUNDDOWN(240/C27,0)/4,0),2)</f>
        <v>1</v>
      </c>
      <c r="AE161" s="29">
        <f>MOD(ROUNDDOWN(ROUNDDOWN(240/C27,0)/2,0),2)</f>
        <v>0</v>
      </c>
      <c r="AF161" s="29">
        <f>MOD(ROUNDDOWN(240/C27,0),2)</f>
        <v>1</v>
      </c>
      <c r="AG161" s="25">
        <v>0</v>
      </c>
      <c r="AH161" s="25">
        <v>0</v>
      </c>
      <c r="AI161" s="26">
        <v>0</v>
      </c>
    </row>
    <row r="162" spans="2:35" ht="15" hidden="1" thickBot="1"/>
    <row r="163" spans="2:35" s="22" customFormat="1" ht="15.6" hidden="1">
      <c r="B163" s="17" t="s">
        <v>280</v>
      </c>
      <c r="C163" s="18" t="s">
        <v>6</v>
      </c>
      <c r="D163" s="19">
        <v>31</v>
      </c>
      <c r="E163" s="19">
        <v>30</v>
      </c>
      <c r="F163" s="19">
        <v>29</v>
      </c>
      <c r="G163" s="19">
        <v>28</v>
      </c>
      <c r="H163" s="19">
        <v>27</v>
      </c>
      <c r="I163" s="19">
        <v>26</v>
      </c>
      <c r="J163" s="19">
        <v>25</v>
      </c>
      <c r="K163" s="19">
        <v>24</v>
      </c>
      <c r="L163" s="19">
        <v>23</v>
      </c>
      <c r="M163" s="19">
        <v>22</v>
      </c>
      <c r="N163" s="19">
        <v>21</v>
      </c>
      <c r="O163" s="19">
        <v>20</v>
      </c>
      <c r="P163" s="19">
        <v>19</v>
      </c>
      <c r="Q163" s="19">
        <v>18</v>
      </c>
      <c r="R163" s="19">
        <v>17</v>
      </c>
      <c r="S163" s="19">
        <v>16</v>
      </c>
      <c r="T163" s="19">
        <v>15</v>
      </c>
      <c r="U163" s="19">
        <v>14</v>
      </c>
      <c r="V163" s="19">
        <v>13</v>
      </c>
      <c r="W163" s="19">
        <v>12</v>
      </c>
      <c r="X163" s="19">
        <v>11</v>
      </c>
      <c r="Y163" s="19">
        <v>10</v>
      </c>
      <c r="Z163" s="19">
        <v>9</v>
      </c>
      <c r="AA163" s="19">
        <v>8</v>
      </c>
      <c r="AB163" s="19">
        <v>7</v>
      </c>
      <c r="AC163" s="19">
        <v>6</v>
      </c>
      <c r="AD163" s="19">
        <v>5</v>
      </c>
      <c r="AE163" s="19">
        <v>4</v>
      </c>
      <c r="AF163" s="19">
        <v>3</v>
      </c>
      <c r="AG163" s="19">
        <v>2</v>
      </c>
      <c r="AH163" s="19">
        <v>1</v>
      </c>
      <c r="AI163" s="20">
        <v>0</v>
      </c>
    </row>
    <row r="164" spans="2:35" s="22" customFormat="1" ht="15.75" hidden="1" customHeight="1">
      <c r="B164" s="111" t="s">
        <v>308</v>
      </c>
      <c r="C164" s="124"/>
      <c r="D164" s="127"/>
      <c r="E164" s="128"/>
      <c r="F164" s="128"/>
      <c r="G164" s="128"/>
      <c r="H164" s="128"/>
      <c r="I164" s="128"/>
      <c r="J164" s="128"/>
      <c r="K164" s="128"/>
      <c r="L164" s="128"/>
      <c r="M164" s="128"/>
      <c r="N164" s="128"/>
      <c r="O164" s="128"/>
      <c r="P164" s="128"/>
      <c r="Q164" s="128"/>
      <c r="R164" s="128"/>
      <c r="S164" s="128"/>
      <c r="T164" s="128"/>
      <c r="U164" s="128"/>
      <c r="V164" s="128"/>
      <c r="W164" s="128"/>
      <c r="X164" s="128"/>
      <c r="Y164" s="128"/>
      <c r="Z164" s="128"/>
      <c r="AA164" s="128"/>
      <c r="AB164" s="128"/>
      <c r="AC164" s="129"/>
      <c r="AD164" s="110" t="s">
        <v>20</v>
      </c>
      <c r="AE164" s="110"/>
      <c r="AF164" s="110"/>
      <c r="AG164" s="108"/>
      <c r="AH164" s="108"/>
      <c r="AI164" s="109"/>
    </row>
    <row r="165" spans="2:35" s="22" customFormat="1" ht="15" hidden="1" customHeight="1">
      <c r="B165" s="112"/>
      <c r="C165" s="124"/>
      <c r="D165" s="130"/>
      <c r="E165" s="131"/>
      <c r="F165" s="131"/>
      <c r="G165" s="131"/>
      <c r="H165" s="131"/>
      <c r="I165" s="131"/>
      <c r="J165" s="131"/>
      <c r="K165" s="131"/>
      <c r="L165" s="131"/>
      <c r="M165" s="131"/>
      <c r="N165" s="131"/>
      <c r="O165" s="131"/>
      <c r="P165" s="131"/>
      <c r="Q165" s="131"/>
      <c r="R165" s="131"/>
      <c r="S165" s="131"/>
      <c r="T165" s="131"/>
      <c r="U165" s="131"/>
      <c r="V165" s="131"/>
      <c r="W165" s="131"/>
      <c r="X165" s="131"/>
      <c r="Y165" s="131"/>
      <c r="Z165" s="131"/>
      <c r="AA165" s="131"/>
      <c r="AB165" s="131"/>
      <c r="AC165" s="132"/>
      <c r="AD165" s="110"/>
      <c r="AE165" s="110"/>
      <c r="AF165" s="110"/>
      <c r="AG165" s="108"/>
      <c r="AH165" s="108"/>
      <c r="AI165" s="109"/>
    </row>
    <row r="166" spans="2:35" s="22" customFormat="1" ht="15" hidden="1" thickBot="1">
      <c r="B166" s="23" t="s">
        <v>58</v>
      </c>
      <c r="C166" s="24" t="str">
        <f>BIN2HEX(D166&amp;E166&amp;F166&amp;G166)&amp;BIN2HEX(H166&amp;I166&amp;J166&amp;K166)&amp;BIN2HEX(L166&amp;M166&amp;N166&amp;O166)&amp;BIN2HEX(P166&amp;Q166&amp;R166&amp;S166)&amp;BIN2HEX(T166&amp;U166&amp;V166&amp;W166)&amp;BIN2HEX(X166&amp;Y166&amp;Z166&amp;AA166)&amp;BIN2HEX(AB166&amp;AC166&amp;AD166&amp;AE166)&amp;BIN2HEX(AF166&amp;AG166&amp;AH166&amp;AI166)</f>
        <v>00000028</v>
      </c>
      <c r="D166" s="25">
        <v>0</v>
      </c>
      <c r="E166" s="25">
        <v>0</v>
      </c>
      <c r="F166" s="25">
        <v>0</v>
      </c>
      <c r="G166" s="25">
        <v>0</v>
      </c>
      <c r="H166" s="25">
        <v>0</v>
      </c>
      <c r="I166" s="25">
        <v>0</v>
      </c>
      <c r="J166" s="25">
        <v>0</v>
      </c>
      <c r="K166" s="25">
        <v>0</v>
      </c>
      <c r="L166" s="25">
        <v>0</v>
      </c>
      <c r="M166" s="25">
        <v>0</v>
      </c>
      <c r="N166" s="25">
        <v>0</v>
      </c>
      <c r="O166" s="25">
        <v>0</v>
      </c>
      <c r="P166" s="25">
        <v>0</v>
      </c>
      <c r="Q166" s="25">
        <v>0</v>
      </c>
      <c r="R166" s="25">
        <v>0</v>
      </c>
      <c r="S166" s="25">
        <v>0</v>
      </c>
      <c r="T166" s="25">
        <v>0</v>
      </c>
      <c r="U166" s="25">
        <v>0</v>
      </c>
      <c r="V166" s="25">
        <v>0</v>
      </c>
      <c r="W166" s="25">
        <v>0</v>
      </c>
      <c r="X166" s="25">
        <v>0</v>
      </c>
      <c r="Y166" s="25">
        <v>0</v>
      </c>
      <c r="Z166" s="25">
        <v>0</v>
      </c>
      <c r="AA166" s="25">
        <v>0</v>
      </c>
      <c r="AB166" s="25">
        <v>0</v>
      </c>
      <c r="AC166" s="25">
        <v>0</v>
      </c>
      <c r="AD166" s="29">
        <f>MOD(ROUNDDOWN(ROUNDDOWN(240/C27,0)/4,0),2)</f>
        <v>1</v>
      </c>
      <c r="AE166" s="29">
        <f>MOD(ROUNDDOWN(ROUNDDOWN(240/C27,0)/2,0),2)</f>
        <v>0</v>
      </c>
      <c r="AF166" s="29">
        <f>MOD(ROUNDDOWN(240/C27,0),2)</f>
        <v>1</v>
      </c>
      <c r="AG166" s="25">
        <v>0</v>
      </c>
      <c r="AH166" s="25">
        <v>0</v>
      </c>
      <c r="AI166" s="26">
        <v>0</v>
      </c>
    </row>
    <row r="167" spans="2:35" ht="15" hidden="1" thickBot="1"/>
    <row r="168" spans="2:35" s="22" customFormat="1" ht="15.6" hidden="1">
      <c r="B168" s="17" t="s">
        <v>280</v>
      </c>
      <c r="C168" s="18" t="s">
        <v>6</v>
      </c>
      <c r="D168" s="19">
        <v>31</v>
      </c>
      <c r="E168" s="19">
        <v>30</v>
      </c>
      <c r="F168" s="19">
        <v>29</v>
      </c>
      <c r="G168" s="19">
        <v>28</v>
      </c>
      <c r="H168" s="19">
        <v>27</v>
      </c>
      <c r="I168" s="19">
        <v>26</v>
      </c>
      <c r="J168" s="19">
        <v>25</v>
      </c>
      <c r="K168" s="19">
        <v>24</v>
      </c>
      <c r="L168" s="19">
        <v>23</v>
      </c>
      <c r="M168" s="19">
        <v>22</v>
      </c>
      <c r="N168" s="19">
        <v>21</v>
      </c>
      <c r="O168" s="19">
        <v>20</v>
      </c>
      <c r="P168" s="19">
        <v>19</v>
      </c>
      <c r="Q168" s="19">
        <v>18</v>
      </c>
      <c r="R168" s="19">
        <v>17</v>
      </c>
      <c r="S168" s="19">
        <v>16</v>
      </c>
      <c r="T168" s="19">
        <v>15</v>
      </c>
      <c r="U168" s="19">
        <v>14</v>
      </c>
      <c r="V168" s="19">
        <v>13</v>
      </c>
      <c r="W168" s="19">
        <v>12</v>
      </c>
      <c r="X168" s="19">
        <v>11</v>
      </c>
      <c r="Y168" s="19">
        <v>10</v>
      </c>
      <c r="Z168" s="19">
        <v>9</v>
      </c>
      <c r="AA168" s="19">
        <v>8</v>
      </c>
      <c r="AB168" s="19">
        <v>7</v>
      </c>
      <c r="AC168" s="19">
        <v>6</v>
      </c>
      <c r="AD168" s="19">
        <v>5</v>
      </c>
      <c r="AE168" s="19">
        <v>4</v>
      </c>
      <c r="AF168" s="19">
        <v>3</v>
      </c>
      <c r="AG168" s="19">
        <v>2</v>
      </c>
      <c r="AH168" s="19">
        <v>1</v>
      </c>
      <c r="AI168" s="20">
        <v>0</v>
      </c>
    </row>
    <row r="169" spans="2:35" s="22" customFormat="1" ht="15.75" hidden="1" customHeight="1">
      <c r="B169" s="111" t="s">
        <v>309</v>
      </c>
      <c r="C169" s="124"/>
      <c r="D169" s="127"/>
      <c r="E169" s="128"/>
      <c r="F169" s="128"/>
      <c r="G169" s="128"/>
      <c r="H169" s="128"/>
      <c r="I169" s="128"/>
      <c r="J169" s="128"/>
      <c r="K169" s="128"/>
      <c r="L169" s="128"/>
      <c r="M169" s="128"/>
      <c r="N169" s="128"/>
      <c r="O169" s="128"/>
      <c r="P169" s="128"/>
      <c r="Q169" s="128"/>
      <c r="R169" s="128"/>
      <c r="S169" s="128"/>
      <c r="T169" s="128"/>
      <c r="U169" s="128"/>
      <c r="V169" s="128"/>
      <c r="W169" s="128"/>
      <c r="X169" s="128"/>
      <c r="Y169" s="128"/>
      <c r="Z169" s="128"/>
      <c r="AA169" s="128"/>
      <c r="AB169" s="128"/>
      <c r="AC169" s="129"/>
      <c r="AD169" s="110" t="s">
        <v>20</v>
      </c>
      <c r="AE169" s="110"/>
      <c r="AF169" s="110"/>
      <c r="AG169" s="108"/>
      <c r="AH169" s="108"/>
      <c r="AI169" s="109"/>
    </row>
    <row r="170" spans="2:35" s="22" customFormat="1" ht="15" hidden="1" customHeight="1">
      <c r="B170" s="112"/>
      <c r="C170" s="124"/>
      <c r="D170" s="130"/>
      <c r="E170" s="131"/>
      <c r="F170" s="131"/>
      <c r="G170" s="131"/>
      <c r="H170" s="131"/>
      <c r="I170" s="131"/>
      <c r="J170" s="131"/>
      <c r="K170" s="131"/>
      <c r="L170" s="131"/>
      <c r="M170" s="131"/>
      <c r="N170" s="131"/>
      <c r="O170" s="131"/>
      <c r="P170" s="131"/>
      <c r="Q170" s="131"/>
      <c r="R170" s="131"/>
      <c r="S170" s="131"/>
      <c r="T170" s="131"/>
      <c r="U170" s="131"/>
      <c r="V170" s="131"/>
      <c r="W170" s="131"/>
      <c r="X170" s="131"/>
      <c r="Y170" s="131"/>
      <c r="Z170" s="131"/>
      <c r="AA170" s="131"/>
      <c r="AB170" s="131"/>
      <c r="AC170" s="132"/>
      <c r="AD170" s="110"/>
      <c r="AE170" s="110"/>
      <c r="AF170" s="110"/>
      <c r="AG170" s="108"/>
      <c r="AH170" s="108"/>
      <c r="AI170" s="109"/>
    </row>
    <row r="171" spans="2:35" s="22" customFormat="1" ht="15" hidden="1" thickBot="1">
      <c r="B171" s="23" t="s">
        <v>59</v>
      </c>
      <c r="C171" s="24" t="str">
        <f>BIN2HEX(D171&amp;E171&amp;F171&amp;G171)&amp;BIN2HEX(H171&amp;I171&amp;J171&amp;K171)&amp;BIN2HEX(L171&amp;M171&amp;N171&amp;O171)&amp;BIN2HEX(P171&amp;Q171&amp;R171&amp;S171)&amp;BIN2HEX(T171&amp;U171&amp;V171&amp;W171)&amp;BIN2HEX(X171&amp;Y171&amp;Z171&amp;AA171)&amp;BIN2HEX(AB171&amp;AC171&amp;AD171&amp;AE171)&amp;BIN2HEX(AF171&amp;AG171&amp;AH171&amp;AI171)</f>
        <v>00000028</v>
      </c>
      <c r="D171" s="25">
        <v>0</v>
      </c>
      <c r="E171" s="25">
        <v>0</v>
      </c>
      <c r="F171" s="25">
        <v>0</v>
      </c>
      <c r="G171" s="25">
        <v>0</v>
      </c>
      <c r="H171" s="25">
        <v>0</v>
      </c>
      <c r="I171" s="25">
        <v>0</v>
      </c>
      <c r="J171" s="25">
        <v>0</v>
      </c>
      <c r="K171" s="25">
        <v>0</v>
      </c>
      <c r="L171" s="25">
        <v>0</v>
      </c>
      <c r="M171" s="25">
        <v>0</v>
      </c>
      <c r="N171" s="25">
        <v>0</v>
      </c>
      <c r="O171" s="25">
        <v>0</v>
      </c>
      <c r="P171" s="25">
        <v>0</v>
      </c>
      <c r="Q171" s="25">
        <v>0</v>
      </c>
      <c r="R171" s="25">
        <v>0</v>
      </c>
      <c r="S171" s="25">
        <v>0</v>
      </c>
      <c r="T171" s="25">
        <v>0</v>
      </c>
      <c r="U171" s="25">
        <v>0</v>
      </c>
      <c r="V171" s="25">
        <v>0</v>
      </c>
      <c r="W171" s="25">
        <v>0</v>
      </c>
      <c r="X171" s="25">
        <v>0</v>
      </c>
      <c r="Y171" s="25">
        <v>0</v>
      </c>
      <c r="Z171" s="25">
        <v>0</v>
      </c>
      <c r="AA171" s="25">
        <v>0</v>
      </c>
      <c r="AB171" s="25">
        <v>0</v>
      </c>
      <c r="AC171" s="25">
        <v>0</v>
      </c>
      <c r="AD171" s="29">
        <f>MOD(ROUNDDOWN(ROUNDDOWN(240/C27,0)/4,0),2)</f>
        <v>1</v>
      </c>
      <c r="AE171" s="29">
        <f>MOD(ROUNDDOWN(ROUNDDOWN(240/C27,0)/2,0),2)</f>
        <v>0</v>
      </c>
      <c r="AF171" s="29">
        <f>MOD(ROUNDDOWN(240/C27,0),2)</f>
        <v>1</v>
      </c>
      <c r="AG171" s="25">
        <v>0</v>
      </c>
      <c r="AH171" s="25">
        <v>0</v>
      </c>
      <c r="AI171" s="26">
        <v>0</v>
      </c>
    </row>
    <row r="172" spans="2:35" ht="15" hidden="1" thickBot="1"/>
    <row r="173" spans="2:35" s="22" customFormat="1" ht="15.6" hidden="1">
      <c r="B173" s="17" t="s">
        <v>280</v>
      </c>
      <c r="C173" s="18" t="s">
        <v>6</v>
      </c>
      <c r="D173" s="19">
        <v>31</v>
      </c>
      <c r="E173" s="19">
        <v>30</v>
      </c>
      <c r="F173" s="19">
        <v>29</v>
      </c>
      <c r="G173" s="19">
        <v>28</v>
      </c>
      <c r="H173" s="19">
        <v>27</v>
      </c>
      <c r="I173" s="19">
        <v>26</v>
      </c>
      <c r="J173" s="19">
        <v>25</v>
      </c>
      <c r="K173" s="19">
        <v>24</v>
      </c>
      <c r="L173" s="19">
        <v>23</v>
      </c>
      <c r="M173" s="19">
        <v>22</v>
      </c>
      <c r="N173" s="19">
        <v>21</v>
      </c>
      <c r="O173" s="19">
        <v>20</v>
      </c>
      <c r="P173" s="19">
        <v>19</v>
      </c>
      <c r="Q173" s="19">
        <v>18</v>
      </c>
      <c r="R173" s="19">
        <v>17</v>
      </c>
      <c r="S173" s="19">
        <v>16</v>
      </c>
      <c r="T173" s="19">
        <v>15</v>
      </c>
      <c r="U173" s="19">
        <v>14</v>
      </c>
      <c r="V173" s="19">
        <v>13</v>
      </c>
      <c r="W173" s="19">
        <v>12</v>
      </c>
      <c r="X173" s="19">
        <v>11</v>
      </c>
      <c r="Y173" s="19">
        <v>10</v>
      </c>
      <c r="Z173" s="19">
        <v>9</v>
      </c>
      <c r="AA173" s="19">
        <v>8</v>
      </c>
      <c r="AB173" s="19">
        <v>7</v>
      </c>
      <c r="AC173" s="19">
        <v>6</v>
      </c>
      <c r="AD173" s="19">
        <v>5</v>
      </c>
      <c r="AE173" s="19">
        <v>4</v>
      </c>
      <c r="AF173" s="19">
        <v>3</v>
      </c>
      <c r="AG173" s="19">
        <v>2</v>
      </c>
      <c r="AH173" s="19">
        <v>1</v>
      </c>
      <c r="AI173" s="20">
        <v>0</v>
      </c>
    </row>
    <row r="174" spans="2:35" s="22" customFormat="1" ht="15.75" hidden="1" customHeight="1">
      <c r="B174" s="111" t="s">
        <v>310</v>
      </c>
      <c r="C174" s="124"/>
      <c r="D174" s="127"/>
      <c r="E174" s="128"/>
      <c r="F174" s="128"/>
      <c r="G174" s="128"/>
      <c r="H174" s="128"/>
      <c r="I174" s="128"/>
      <c r="J174" s="128"/>
      <c r="K174" s="128"/>
      <c r="L174" s="128"/>
      <c r="M174" s="128"/>
      <c r="N174" s="128"/>
      <c r="O174" s="128"/>
      <c r="P174" s="128"/>
      <c r="Q174" s="128"/>
      <c r="R174" s="128"/>
      <c r="S174" s="128"/>
      <c r="T174" s="128"/>
      <c r="U174" s="128"/>
      <c r="V174" s="128"/>
      <c r="W174" s="128"/>
      <c r="X174" s="128"/>
      <c r="Y174" s="128"/>
      <c r="Z174" s="128"/>
      <c r="AA174" s="128"/>
      <c r="AB174" s="128"/>
      <c r="AC174" s="129"/>
      <c r="AD174" s="110" t="s">
        <v>20</v>
      </c>
      <c r="AE174" s="110"/>
      <c r="AF174" s="110"/>
      <c r="AG174" s="108"/>
      <c r="AH174" s="108"/>
      <c r="AI174" s="109"/>
    </row>
    <row r="175" spans="2:35" s="22" customFormat="1" ht="15" hidden="1" customHeight="1">
      <c r="B175" s="112"/>
      <c r="C175" s="124"/>
      <c r="D175" s="130"/>
      <c r="E175" s="131"/>
      <c r="F175" s="131"/>
      <c r="G175" s="131"/>
      <c r="H175" s="131"/>
      <c r="I175" s="131"/>
      <c r="J175" s="131"/>
      <c r="K175" s="131"/>
      <c r="L175" s="131"/>
      <c r="M175" s="131"/>
      <c r="N175" s="131"/>
      <c r="O175" s="131"/>
      <c r="P175" s="131"/>
      <c r="Q175" s="131"/>
      <c r="R175" s="131"/>
      <c r="S175" s="131"/>
      <c r="T175" s="131"/>
      <c r="U175" s="131"/>
      <c r="V175" s="131"/>
      <c r="W175" s="131"/>
      <c r="X175" s="131"/>
      <c r="Y175" s="131"/>
      <c r="Z175" s="131"/>
      <c r="AA175" s="131"/>
      <c r="AB175" s="131"/>
      <c r="AC175" s="132"/>
      <c r="AD175" s="110"/>
      <c r="AE175" s="110"/>
      <c r="AF175" s="110"/>
      <c r="AG175" s="108"/>
      <c r="AH175" s="108"/>
      <c r="AI175" s="109"/>
    </row>
    <row r="176" spans="2:35" s="22" customFormat="1" ht="15" hidden="1" thickBot="1">
      <c r="B176" s="23" t="s">
        <v>61</v>
      </c>
      <c r="C176" s="24" t="str">
        <f>BIN2HEX(D176&amp;E176&amp;F176&amp;G176)&amp;BIN2HEX(H176&amp;I176&amp;J176&amp;K176)&amp;BIN2HEX(L176&amp;M176&amp;N176&amp;O176)&amp;BIN2HEX(P176&amp;Q176&amp;R176&amp;S176)&amp;BIN2HEX(T176&amp;U176&amp;V176&amp;W176)&amp;BIN2HEX(X176&amp;Y176&amp;Z176&amp;AA176)&amp;BIN2HEX(AB176&amp;AC176&amp;AD176&amp;AE176)&amp;BIN2HEX(AF176&amp;AG176&amp;AH176&amp;AI176)</f>
        <v>00000028</v>
      </c>
      <c r="D176" s="25">
        <v>0</v>
      </c>
      <c r="E176" s="25">
        <v>0</v>
      </c>
      <c r="F176" s="25">
        <v>0</v>
      </c>
      <c r="G176" s="25">
        <v>0</v>
      </c>
      <c r="H176" s="25">
        <v>0</v>
      </c>
      <c r="I176" s="25">
        <v>0</v>
      </c>
      <c r="J176" s="25">
        <v>0</v>
      </c>
      <c r="K176" s="25">
        <v>0</v>
      </c>
      <c r="L176" s="25">
        <v>0</v>
      </c>
      <c r="M176" s="25">
        <v>0</v>
      </c>
      <c r="N176" s="25">
        <v>0</v>
      </c>
      <c r="O176" s="25">
        <v>0</v>
      </c>
      <c r="P176" s="25">
        <v>0</v>
      </c>
      <c r="Q176" s="25">
        <v>0</v>
      </c>
      <c r="R176" s="25">
        <v>0</v>
      </c>
      <c r="S176" s="25">
        <v>0</v>
      </c>
      <c r="T176" s="25">
        <v>0</v>
      </c>
      <c r="U176" s="25">
        <v>0</v>
      </c>
      <c r="V176" s="25">
        <v>0</v>
      </c>
      <c r="W176" s="25">
        <v>0</v>
      </c>
      <c r="X176" s="25">
        <v>0</v>
      </c>
      <c r="Y176" s="25">
        <v>0</v>
      </c>
      <c r="Z176" s="25">
        <v>0</v>
      </c>
      <c r="AA176" s="25">
        <v>0</v>
      </c>
      <c r="AB176" s="25">
        <v>0</v>
      </c>
      <c r="AC176" s="25">
        <v>0</v>
      </c>
      <c r="AD176" s="29">
        <f>MOD(ROUNDDOWN(ROUNDDOWN(240/C27,0)/4,0),2)</f>
        <v>1</v>
      </c>
      <c r="AE176" s="29">
        <f>MOD(ROUNDDOWN(ROUNDDOWN(240/C27,0)/2,0),2)</f>
        <v>0</v>
      </c>
      <c r="AF176" s="29">
        <f>MOD(ROUNDDOWN(240/C27,0),2)</f>
        <v>1</v>
      </c>
      <c r="AG176" s="25">
        <v>0</v>
      </c>
      <c r="AH176" s="25">
        <v>0</v>
      </c>
      <c r="AI176" s="26">
        <v>0</v>
      </c>
    </row>
    <row r="177" spans="2:35" ht="15" hidden="1" thickBot="1"/>
    <row r="178" spans="2:35" s="22" customFormat="1" ht="15.6" hidden="1">
      <c r="B178" s="17" t="s">
        <v>280</v>
      </c>
      <c r="C178" s="18" t="s">
        <v>6</v>
      </c>
      <c r="D178" s="19">
        <v>31</v>
      </c>
      <c r="E178" s="19">
        <v>30</v>
      </c>
      <c r="F178" s="19">
        <v>29</v>
      </c>
      <c r="G178" s="19">
        <v>28</v>
      </c>
      <c r="H178" s="19">
        <v>27</v>
      </c>
      <c r="I178" s="19">
        <v>26</v>
      </c>
      <c r="J178" s="19">
        <v>25</v>
      </c>
      <c r="K178" s="19">
        <v>24</v>
      </c>
      <c r="L178" s="19">
        <v>23</v>
      </c>
      <c r="M178" s="19">
        <v>22</v>
      </c>
      <c r="N178" s="19">
        <v>21</v>
      </c>
      <c r="O178" s="19">
        <v>20</v>
      </c>
      <c r="P178" s="19">
        <v>19</v>
      </c>
      <c r="Q178" s="19">
        <v>18</v>
      </c>
      <c r="R178" s="19">
        <v>17</v>
      </c>
      <c r="S178" s="19">
        <v>16</v>
      </c>
      <c r="T178" s="19">
        <v>15</v>
      </c>
      <c r="U178" s="19">
        <v>14</v>
      </c>
      <c r="V178" s="19">
        <v>13</v>
      </c>
      <c r="W178" s="19">
        <v>12</v>
      </c>
      <c r="X178" s="19">
        <v>11</v>
      </c>
      <c r="Y178" s="19">
        <v>10</v>
      </c>
      <c r="Z178" s="19">
        <v>9</v>
      </c>
      <c r="AA178" s="19">
        <v>8</v>
      </c>
      <c r="AB178" s="19">
        <v>7</v>
      </c>
      <c r="AC178" s="19">
        <v>6</v>
      </c>
      <c r="AD178" s="19">
        <v>5</v>
      </c>
      <c r="AE178" s="19">
        <v>4</v>
      </c>
      <c r="AF178" s="19">
        <v>3</v>
      </c>
      <c r="AG178" s="19">
        <v>2</v>
      </c>
      <c r="AH178" s="19">
        <v>1</v>
      </c>
      <c r="AI178" s="20">
        <v>0</v>
      </c>
    </row>
    <row r="179" spans="2:35" s="22" customFormat="1" ht="15.75" hidden="1" customHeight="1">
      <c r="B179" s="111" t="s">
        <v>311</v>
      </c>
      <c r="C179" s="124"/>
      <c r="D179" s="127"/>
      <c r="E179" s="128"/>
      <c r="F179" s="128"/>
      <c r="G179" s="128"/>
      <c r="H179" s="128"/>
      <c r="I179" s="128"/>
      <c r="J179" s="128"/>
      <c r="K179" s="128"/>
      <c r="L179" s="128"/>
      <c r="M179" s="128"/>
      <c r="N179" s="128"/>
      <c r="O179" s="128"/>
      <c r="P179" s="128"/>
      <c r="Q179" s="128"/>
      <c r="R179" s="128"/>
      <c r="S179" s="128"/>
      <c r="T179" s="128"/>
      <c r="U179" s="128"/>
      <c r="V179" s="128"/>
      <c r="W179" s="128"/>
      <c r="X179" s="128"/>
      <c r="Y179" s="128"/>
      <c r="Z179" s="128"/>
      <c r="AA179" s="128"/>
      <c r="AB179" s="128"/>
      <c r="AC179" s="129"/>
      <c r="AD179" s="110" t="s">
        <v>20</v>
      </c>
      <c r="AE179" s="110"/>
      <c r="AF179" s="110"/>
      <c r="AG179" s="108"/>
      <c r="AH179" s="108"/>
      <c r="AI179" s="109"/>
    </row>
    <row r="180" spans="2:35" s="22" customFormat="1" ht="15" hidden="1" customHeight="1">
      <c r="B180" s="112"/>
      <c r="C180" s="124"/>
      <c r="D180" s="130"/>
      <c r="E180" s="131"/>
      <c r="F180" s="131"/>
      <c r="G180" s="131"/>
      <c r="H180" s="131"/>
      <c r="I180" s="131"/>
      <c r="J180" s="131"/>
      <c r="K180" s="131"/>
      <c r="L180" s="131"/>
      <c r="M180" s="131"/>
      <c r="N180" s="131"/>
      <c r="O180" s="131"/>
      <c r="P180" s="131"/>
      <c r="Q180" s="131"/>
      <c r="R180" s="131"/>
      <c r="S180" s="131"/>
      <c r="T180" s="131"/>
      <c r="U180" s="131"/>
      <c r="V180" s="131"/>
      <c r="W180" s="131"/>
      <c r="X180" s="131"/>
      <c r="Y180" s="131"/>
      <c r="Z180" s="131"/>
      <c r="AA180" s="131"/>
      <c r="AB180" s="131"/>
      <c r="AC180" s="132"/>
      <c r="AD180" s="110"/>
      <c r="AE180" s="110"/>
      <c r="AF180" s="110"/>
      <c r="AG180" s="108"/>
      <c r="AH180" s="108"/>
      <c r="AI180" s="109"/>
    </row>
    <row r="181" spans="2:35" s="22" customFormat="1" ht="15" hidden="1" thickBot="1">
      <c r="B181" s="23" t="s">
        <v>60</v>
      </c>
      <c r="C181" s="24" t="str">
        <f>BIN2HEX(D181&amp;E181&amp;F181&amp;G181)&amp;BIN2HEX(H181&amp;I181&amp;J181&amp;K181)&amp;BIN2HEX(L181&amp;M181&amp;N181&amp;O181)&amp;BIN2HEX(P181&amp;Q181&amp;R181&amp;S181)&amp;BIN2HEX(T181&amp;U181&amp;V181&amp;W181)&amp;BIN2HEX(X181&amp;Y181&amp;Z181&amp;AA181)&amp;BIN2HEX(AB181&amp;AC181&amp;AD181&amp;AE181)&amp;BIN2HEX(AF181&amp;AG181&amp;AH181&amp;AI181)</f>
        <v>00000028</v>
      </c>
      <c r="D181" s="25">
        <v>0</v>
      </c>
      <c r="E181" s="25">
        <v>0</v>
      </c>
      <c r="F181" s="25">
        <v>0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</v>
      </c>
      <c r="O181" s="25">
        <v>0</v>
      </c>
      <c r="P181" s="25">
        <v>0</v>
      </c>
      <c r="Q181" s="25">
        <v>0</v>
      </c>
      <c r="R181" s="25">
        <v>0</v>
      </c>
      <c r="S181" s="25">
        <v>0</v>
      </c>
      <c r="T181" s="25">
        <v>0</v>
      </c>
      <c r="U181" s="25">
        <v>0</v>
      </c>
      <c r="V181" s="25">
        <v>0</v>
      </c>
      <c r="W181" s="25">
        <v>0</v>
      </c>
      <c r="X181" s="25">
        <v>0</v>
      </c>
      <c r="Y181" s="25">
        <v>0</v>
      </c>
      <c r="Z181" s="25">
        <v>0</v>
      </c>
      <c r="AA181" s="25">
        <v>0</v>
      </c>
      <c r="AB181" s="25">
        <v>0</v>
      </c>
      <c r="AC181" s="25">
        <v>0</v>
      </c>
      <c r="AD181" s="29">
        <f>MOD(ROUNDDOWN(ROUNDDOWN(240/C27,0)/4,0),2)</f>
        <v>1</v>
      </c>
      <c r="AE181" s="29">
        <f>MOD(ROUNDDOWN(ROUNDDOWN(240/C27,0)/2,0),2)</f>
        <v>0</v>
      </c>
      <c r="AF181" s="29">
        <f>MOD(ROUNDDOWN(240/C27,0),2)</f>
        <v>1</v>
      </c>
      <c r="AG181" s="25">
        <v>0</v>
      </c>
      <c r="AH181" s="25">
        <v>0</v>
      </c>
      <c r="AI181" s="26">
        <v>0</v>
      </c>
    </row>
    <row r="182" spans="2:35" ht="15" hidden="1" thickBot="1"/>
    <row r="183" spans="2:35" s="22" customFormat="1" ht="15.6" hidden="1">
      <c r="B183" s="17" t="s">
        <v>280</v>
      </c>
      <c r="C183" s="18" t="s">
        <v>6</v>
      </c>
      <c r="D183" s="19">
        <v>31</v>
      </c>
      <c r="E183" s="19">
        <v>30</v>
      </c>
      <c r="F183" s="19">
        <v>29</v>
      </c>
      <c r="G183" s="19">
        <v>28</v>
      </c>
      <c r="H183" s="19">
        <v>27</v>
      </c>
      <c r="I183" s="19">
        <v>26</v>
      </c>
      <c r="J183" s="19">
        <v>25</v>
      </c>
      <c r="K183" s="19">
        <v>24</v>
      </c>
      <c r="L183" s="19">
        <v>23</v>
      </c>
      <c r="M183" s="19">
        <v>22</v>
      </c>
      <c r="N183" s="19">
        <v>21</v>
      </c>
      <c r="O183" s="19">
        <v>20</v>
      </c>
      <c r="P183" s="19">
        <v>19</v>
      </c>
      <c r="Q183" s="19">
        <v>18</v>
      </c>
      <c r="R183" s="19">
        <v>17</v>
      </c>
      <c r="S183" s="19">
        <v>16</v>
      </c>
      <c r="T183" s="19">
        <v>15</v>
      </c>
      <c r="U183" s="19">
        <v>14</v>
      </c>
      <c r="V183" s="19">
        <v>13</v>
      </c>
      <c r="W183" s="19">
        <v>12</v>
      </c>
      <c r="X183" s="19">
        <v>11</v>
      </c>
      <c r="Y183" s="19">
        <v>10</v>
      </c>
      <c r="Z183" s="19">
        <v>9</v>
      </c>
      <c r="AA183" s="19">
        <v>8</v>
      </c>
      <c r="AB183" s="19">
        <v>7</v>
      </c>
      <c r="AC183" s="19">
        <v>6</v>
      </c>
      <c r="AD183" s="19">
        <v>5</v>
      </c>
      <c r="AE183" s="19">
        <v>4</v>
      </c>
      <c r="AF183" s="19">
        <v>3</v>
      </c>
      <c r="AG183" s="19">
        <v>2</v>
      </c>
      <c r="AH183" s="19">
        <v>1</v>
      </c>
      <c r="AI183" s="20">
        <v>0</v>
      </c>
    </row>
    <row r="184" spans="2:35" s="22" customFormat="1" ht="15.75" hidden="1" customHeight="1">
      <c r="B184" s="111" t="s">
        <v>312</v>
      </c>
      <c r="C184" s="124"/>
      <c r="D184" s="113"/>
      <c r="E184" s="114"/>
      <c r="F184" s="114"/>
      <c r="G184" s="114"/>
      <c r="H184" s="114"/>
      <c r="I184" s="114"/>
      <c r="J184" s="114"/>
      <c r="K184" s="114"/>
      <c r="L184" s="114"/>
      <c r="M184" s="114"/>
      <c r="N184" s="114"/>
      <c r="O184" s="114"/>
      <c r="P184" s="114"/>
      <c r="Q184" s="115"/>
      <c r="R184" s="119" t="s">
        <v>17</v>
      </c>
      <c r="S184" s="110" t="s">
        <v>18</v>
      </c>
      <c r="T184" s="113"/>
      <c r="U184" s="114"/>
      <c r="V184" s="114"/>
      <c r="W184" s="114"/>
      <c r="X184" s="115"/>
      <c r="Y184" s="110" t="s">
        <v>19</v>
      </c>
      <c r="Z184" s="110"/>
      <c r="AA184" s="110"/>
      <c r="AB184" s="108"/>
      <c r="AC184" s="108"/>
      <c r="AD184" s="110" t="s">
        <v>20</v>
      </c>
      <c r="AE184" s="110"/>
      <c r="AF184" s="110"/>
      <c r="AG184" s="108"/>
      <c r="AH184" s="108"/>
      <c r="AI184" s="109"/>
    </row>
    <row r="185" spans="2:35" s="22" customFormat="1" ht="15" hidden="1" customHeight="1">
      <c r="B185" s="112"/>
      <c r="C185" s="124"/>
      <c r="D185" s="116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8"/>
      <c r="R185" s="119"/>
      <c r="S185" s="110"/>
      <c r="T185" s="116"/>
      <c r="U185" s="117"/>
      <c r="V185" s="117"/>
      <c r="W185" s="117"/>
      <c r="X185" s="118"/>
      <c r="Y185" s="110"/>
      <c r="Z185" s="110"/>
      <c r="AA185" s="110"/>
      <c r="AB185" s="108"/>
      <c r="AC185" s="108"/>
      <c r="AD185" s="110"/>
      <c r="AE185" s="110"/>
      <c r="AF185" s="110"/>
      <c r="AG185" s="108"/>
      <c r="AH185" s="108"/>
      <c r="AI185" s="109"/>
    </row>
    <row r="186" spans="2:35" s="22" customFormat="1" ht="15" hidden="1" thickBot="1">
      <c r="B186" s="23" t="s">
        <v>62</v>
      </c>
      <c r="C186" s="24" t="str">
        <f>BIN2HEX(D186&amp;E186&amp;F186&amp;G186)&amp;BIN2HEX(H186&amp;I186&amp;J186&amp;K186)&amp;BIN2HEX(L186&amp;M186&amp;N186&amp;O186)&amp;BIN2HEX(P186&amp;Q186&amp;R186&amp;S186)&amp;BIN2HEX(T186&amp;U186&amp;V186&amp;W186)&amp;BIN2HEX(X186&amp;Y186&amp;Z186&amp;AA186)&amp;BIN2HEX(AB186&amp;AC186&amp;AD186&amp;AE186)&amp;BIN2HEX(AF186&amp;AG186&amp;AH186&amp;AI186)</f>
        <v>00000028</v>
      </c>
      <c r="D186" s="25">
        <v>0</v>
      </c>
      <c r="E186" s="25">
        <v>0</v>
      </c>
      <c r="F186" s="25">
        <v>0</v>
      </c>
      <c r="G186" s="25">
        <v>0</v>
      </c>
      <c r="H186" s="25">
        <v>0</v>
      </c>
      <c r="I186" s="25">
        <v>0</v>
      </c>
      <c r="J186" s="25">
        <v>0</v>
      </c>
      <c r="K186" s="25">
        <v>0</v>
      </c>
      <c r="L186" s="25">
        <v>0</v>
      </c>
      <c r="M186" s="25">
        <v>0</v>
      </c>
      <c r="N186" s="25">
        <v>0</v>
      </c>
      <c r="O186" s="25">
        <v>0</v>
      </c>
      <c r="P186" s="25">
        <v>0</v>
      </c>
      <c r="Q186" s="25">
        <v>0</v>
      </c>
      <c r="R186" s="25">
        <v>0</v>
      </c>
      <c r="S186" s="25">
        <v>0</v>
      </c>
      <c r="T186" s="25">
        <v>0</v>
      </c>
      <c r="U186" s="25">
        <v>0</v>
      </c>
      <c r="V186" s="25">
        <v>0</v>
      </c>
      <c r="W186" s="25">
        <v>0</v>
      </c>
      <c r="X186" s="25">
        <v>0</v>
      </c>
      <c r="Y186" s="25">
        <v>0</v>
      </c>
      <c r="Z186" s="25">
        <v>0</v>
      </c>
      <c r="AA186" s="25">
        <v>0</v>
      </c>
      <c r="AB186" s="25">
        <v>0</v>
      </c>
      <c r="AC186" s="25">
        <v>0</v>
      </c>
      <c r="AD186" s="29">
        <f>MOD(ROUNDDOWN(ROUNDDOWN(240/C27,0)/4,0),2)</f>
        <v>1</v>
      </c>
      <c r="AE186" s="29">
        <f>MOD(ROUNDDOWN(ROUNDDOWN(240/C27,0)/2,0),2)</f>
        <v>0</v>
      </c>
      <c r="AF186" s="29">
        <f>MOD(ROUNDDOWN(240/C27,0),2)</f>
        <v>1</v>
      </c>
      <c r="AG186" s="25">
        <v>0</v>
      </c>
      <c r="AH186" s="25">
        <v>0</v>
      </c>
      <c r="AI186" s="26">
        <v>0</v>
      </c>
    </row>
    <row r="187" spans="2:35" ht="15" hidden="1" thickBot="1"/>
    <row r="188" spans="2:35" s="22" customFormat="1" ht="15.6" hidden="1">
      <c r="B188" s="17" t="s">
        <v>280</v>
      </c>
      <c r="C188" s="18" t="s">
        <v>6</v>
      </c>
      <c r="D188" s="19">
        <v>31</v>
      </c>
      <c r="E188" s="19">
        <v>30</v>
      </c>
      <c r="F188" s="19">
        <v>29</v>
      </c>
      <c r="G188" s="19">
        <v>28</v>
      </c>
      <c r="H188" s="19">
        <v>27</v>
      </c>
      <c r="I188" s="19">
        <v>26</v>
      </c>
      <c r="J188" s="19">
        <v>25</v>
      </c>
      <c r="K188" s="19">
        <v>24</v>
      </c>
      <c r="L188" s="19">
        <v>23</v>
      </c>
      <c r="M188" s="19">
        <v>22</v>
      </c>
      <c r="N188" s="19">
        <v>21</v>
      </c>
      <c r="O188" s="19">
        <v>20</v>
      </c>
      <c r="P188" s="19">
        <v>19</v>
      </c>
      <c r="Q188" s="19">
        <v>18</v>
      </c>
      <c r="R188" s="19">
        <v>17</v>
      </c>
      <c r="S188" s="19">
        <v>16</v>
      </c>
      <c r="T188" s="19">
        <v>15</v>
      </c>
      <c r="U188" s="19">
        <v>14</v>
      </c>
      <c r="V188" s="19">
        <v>13</v>
      </c>
      <c r="W188" s="19">
        <v>12</v>
      </c>
      <c r="X188" s="19">
        <v>11</v>
      </c>
      <c r="Y188" s="19">
        <v>10</v>
      </c>
      <c r="Z188" s="19">
        <v>9</v>
      </c>
      <c r="AA188" s="19">
        <v>8</v>
      </c>
      <c r="AB188" s="19">
        <v>7</v>
      </c>
      <c r="AC188" s="19">
        <v>6</v>
      </c>
      <c r="AD188" s="19">
        <v>5</v>
      </c>
      <c r="AE188" s="19">
        <v>4</v>
      </c>
      <c r="AF188" s="19">
        <v>3</v>
      </c>
      <c r="AG188" s="19">
        <v>2</v>
      </c>
      <c r="AH188" s="19">
        <v>1</v>
      </c>
      <c r="AI188" s="20">
        <v>0</v>
      </c>
    </row>
    <row r="189" spans="2:35" s="22" customFormat="1" ht="15.75" hidden="1" customHeight="1">
      <c r="B189" s="111" t="s">
        <v>313</v>
      </c>
      <c r="C189" s="124"/>
      <c r="D189" s="113"/>
      <c r="E189" s="114"/>
      <c r="F189" s="114"/>
      <c r="G189" s="114"/>
      <c r="H189" s="114"/>
      <c r="I189" s="114"/>
      <c r="J189" s="114"/>
      <c r="K189" s="114"/>
      <c r="L189" s="114"/>
      <c r="M189" s="114"/>
      <c r="N189" s="114"/>
      <c r="O189" s="114"/>
      <c r="P189" s="114"/>
      <c r="Q189" s="115"/>
      <c r="R189" s="119" t="s">
        <v>17</v>
      </c>
      <c r="S189" s="110" t="s">
        <v>18</v>
      </c>
      <c r="T189" s="113"/>
      <c r="U189" s="114"/>
      <c r="V189" s="114"/>
      <c r="W189" s="114"/>
      <c r="X189" s="115"/>
      <c r="Y189" s="110" t="s">
        <v>19</v>
      </c>
      <c r="Z189" s="110"/>
      <c r="AA189" s="110"/>
      <c r="AB189" s="108"/>
      <c r="AC189" s="108"/>
      <c r="AD189" s="110" t="s">
        <v>20</v>
      </c>
      <c r="AE189" s="110"/>
      <c r="AF189" s="110"/>
      <c r="AG189" s="108"/>
      <c r="AH189" s="108"/>
      <c r="AI189" s="109"/>
    </row>
    <row r="190" spans="2:35" s="22" customFormat="1" ht="15" hidden="1" customHeight="1">
      <c r="B190" s="112"/>
      <c r="C190" s="124"/>
      <c r="D190" s="116"/>
      <c r="E190" s="117"/>
      <c r="F190" s="117"/>
      <c r="G190" s="117"/>
      <c r="H190" s="117"/>
      <c r="I190" s="117"/>
      <c r="J190" s="117"/>
      <c r="K190" s="117"/>
      <c r="L190" s="117"/>
      <c r="M190" s="117"/>
      <c r="N190" s="117"/>
      <c r="O190" s="117"/>
      <c r="P190" s="117"/>
      <c r="Q190" s="118"/>
      <c r="R190" s="119"/>
      <c r="S190" s="110"/>
      <c r="T190" s="116"/>
      <c r="U190" s="117"/>
      <c r="V190" s="117"/>
      <c r="W190" s="117"/>
      <c r="X190" s="118"/>
      <c r="Y190" s="110"/>
      <c r="Z190" s="110"/>
      <c r="AA190" s="110"/>
      <c r="AB190" s="108"/>
      <c r="AC190" s="108"/>
      <c r="AD190" s="110"/>
      <c r="AE190" s="110"/>
      <c r="AF190" s="110"/>
      <c r="AG190" s="108"/>
      <c r="AH190" s="108"/>
      <c r="AI190" s="109"/>
    </row>
    <row r="191" spans="2:35" s="22" customFormat="1" ht="15" hidden="1" thickBot="1">
      <c r="B191" s="23" t="s">
        <v>63</v>
      </c>
      <c r="C191" s="24" t="str">
        <f>BIN2HEX(D191&amp;E191&amp;F191&amp;G191)&amp;BIN2HEX(H191&amp;I191&amp;J191&amp;K191)&amp;BIN2HEX(L191&amp;M191&amp;N191&amp;O191)&amp;BIN2HEX(P191&amp;Q191&amp;R191&amp;S191)&amp;BIN2HEX(T191&amp;U191&amp;V191&amp;W191)&amp;BIN2HEX(X191&amp;Y191&amp;Z191&amp;AA191)&amp;BIN2HEX(AB191&amp;AC191&amp;AD191&amp;AE191)&amp;BIN2HEX(AF191&amp;AG191&amp;AH191&amp;AI191)</f>
        <v>00000028</v>
      </c>
      <c r="D191" s="25">
        <v>0</v>
      </c>
      <c r="E191" s="25">
        <v>0</v>
      </c>
      <c r="F191" s="25">
        <v>0</v>
      </c>
      <c r="G191" s="25">
        <v>0</v>
      </c>
      <c r="H191" s="25">
        <v>0</v>
      </c>
      <c r="I191" s="25">
        <v>0</v>
      </c>
      <c r="J191" s="25">
        <v>0</v>
      </c>
      <c r="K191" s="25">
        <v>0</v>
      </c>
      <c r="L191" s="25">
        <v>0</v>
      </c>
      <c r="M191" s="25">
        <v>0</v>
      </c>
      <c r="N191" s="25">
        <v>0</v>
      </c>
      <c r="O191" s="25">
        <v>0</v>
      </c>
      <c r="P191" s="25">
        <v>0</v>
      </c>
      <c r="Q191" s="25">
        <v>0</v>
      </c>
      <c r="R191" s="25">
        <v>0</v>
      </c>
      <c r="S191" s="25">
        <v>0</v>
      </c>
      <c r="T191" s="25">
        <v>0</v>
      </c>
      <c r="U191" s="25">
        <v>0</v>
      </c>
      <c r="V191" s="25">
        <v>0</v>
      </c>
      <c r="W191" s="25">
        <v>0</v>
      </c>
      <c r="X191" s="25">
        <v>0</v>
      </c>
      <c r="Y191" s="25">
        <v>0</v>
      </c>
      <c r="Z191" s="25">
        <v>0</v>
      </c>
      <c r="AA191" s="25">
        <v>0</v>
      </c>
      <c r="AB191" s="25">
        <v>0</v>
      </c>
      <c r="AC191" s="25">
        <v>0</v>
      </c>
      <c r="AD191" s="29">
        <f>MOD(ROUNDDOWN(ROUNDDOWN(240/C27,0)/4,0),2)</f>
        <v>1</v>
      </c>
      <c r="AE191" s="29">
        <f>MOD(ROUNDDOWN(ROUNDDOWN(240/C27,0)/2,0),2)</f>
        <v>0</v>
      </c>
      <c r="AF191" s="29">
        <f>MOD(ROUNDDOWN(240/C27,0),2)</f>
        <v>1</v>
      </c>
      <c r="AG191" s="25">
        <v>0</v>
      </c>
      <c r="AH191" s="25">
        <v>0</v>
      </c>
      <c r="AI191" s="26">
        <v>0</v>
      </c>
    </row>
    <row r="192" spans="2:35" ht="15" hidden="1" thickBot="1"/>
    <row r="193" spans="2:35" s="22" customFormat="1" ht="15.6" hidden="1">
      <c r="B193" s="17" t="s">
        <v>280</v>
      </c>
      <c r="C193" s="18" t="s">
        <v>6</v>
      </c>
      <c r="D193" s="19">
        <v>31</v>
      </c>
      <c r="E193" s="19">
        <v>30</v>
      </c>
      <c r="F193" s="19">
        <v>29</v>
      </c>
      <c r="G193" s="19">
        <v>28</v>
      </c>
      <c r="H193" s="19">
        <v>27</v>
      </c>
      <c r="I193" s="19">
        <v>26</v>
      </c>
      <c r="J193" s="19">
        <v>25</v>
      </c>
      <c r="K193" s="19">
        <v>24</v>
      </c>
      <c r="L193" s="19">
        <v>23</v>
      </c>
      <c r="M193" s="19">
        <v>22</v>
      </c>
      <c r="N193" s="19">
        <v>21</v>
      </c>
      <c r="O193" s="19">
        <v>20</v>
      </c>
      <c r="P193" s="19">
        <v>19</v>
      </c>
      <c r="Q193" s="19">
        <v>18</v>
      </c>
      <c r="R193" s="19">
        <v>17</v>
      </c>
      <c r="S193" s="19">
        <v>16</v>
      </c>
      <c r="T193" s="19">
        <v>15</v>
      </c>
      <c r="U193" s="19">
        <v>14</v>
      </c>
      <c r="V193" s="19">
        <v>13</v>
      </c>
      <c r="W193" s="19">
        <v>12</v>
      </c>
      <c r="X193" s="19">
        <v>11</v>
      </c>
      <c r="Y193" s="19">
        <v>10</v>
      </c>
      <c r="Z193" s="19">
        <v>9</v>
      </c>
      <c r="AA193" s="19">
        <v>8</v>
      </c>
      <c r="AB193" s="19">
        <v>7</v>
      </c>
      <c r="AC193" s="19">
        <v>6</v>
      </c>
      <c r="AD193" s="19">
        <v>5</v>
      </c>
      <c r="AE193" s="19">
        <v>4</v>
      </c>
      <c r="AF193" s="19">
        <v>3</v>
      </c>
      <c r="AG193" s="19">
        <v>2</v>
      </c>
      <c r="AH193" s="19">
        <v>1</v>
      </c>
      <c r="AI193" s="20">
        <v>0</v>
      </c>
    </row>
    <row r="194" spans="2:35" s="22" customFormat="1" ht="15.75" hidden="1" customHeight="1">
      <c r="B194" s="111" t="s">
        <v>314</v>
      </c>
      <c r="C194" s="124"/>
      <c r="D194" s="113"/>
      <c r="E194" s="114"/>
      <c r="F194" s="114"/>
      <c r="G194" s="114"/>
      <c r="H194" s="114"/>
      <c r="I194" s="114"/>
      <c r="J194" s="114"/>
      <c r="K194" s="114"/>
      <c r="L194" s="114"/>
      <c r="M194" s="114"/>
      <c r="N194" s="114"/>
      <c r="O194" s="114"/>
      <c r="P194" s="114"/>
      <c r="Q194" s="115"/>
      <c r="R194" s="119" t="s">
        <v>17</v>
      </c>
      <c r="S194" s="110" t="s">
        <v>18</v>
      </c>
      <c r="T194" s="113"/>
      <c r="U194" s="114"/>
      <c r="V194" s="114"/>
      <c r="W194" s="114"/>
      <c r="X194" s="115"/>
      <c r="Y194" s="110" t="s">
        <v>19</v>
      </c>
      <c r="Z194" s="110"/>
      <c r="AA194" s="110"/>
      <c r="AB194" s="108"/>
      <c r="AC194" s="108"/>
      <c r="AD194" s="110" t="s">
        <v>20</v>
      </c>
      <c r="AE194" s="110"/>
      <c r="AF194" s="110"/>
      <c r="AG194" s="108"/>
      <c r="AH194" s="108"/>
      <c r="AI194" s="109"/>
    </row>
    <row r="195" spans="2:35" s="22" customFormat="1" ht="15" hidden="1" customHeight="1">
      <c r="B195" s="112"/>
      <c r="C195" s="124"/>
      <c r="D195" s="116"/>
      <c r="E195" s="117"/>
      <c r="F195" s="117"/>
      <c r="G195" s="117"/>
      <c r="H195" s="117"/>
      <c r="I195" s="117"/>
      <c r="J195" s="117"/>
      <c r="K195" s="117"/>
      <c r="L195" s="117"/>
      <c r="M195" s="117"/>
      <c r="N195" s="117"/>
      <c r="O195" s="117"/>
      <c r="P195" s="117"/>
      <c r="Q195" s="118"/>
      <c r="R195" s="119"/>
      <c r="S195" s="110"/>
      <c r="T195" s="116"/>
      <c r="U195" s="117"/>
      <c r="V195" s="117"/>
      <c r="W195" s="117"/>
      <c r="X195" s="118"/>
      <c r="Y195" s="110"/>
      <c r="Z195" s="110"/>
      <c r="AA195" s="110"/>
      <c r="AB195" s="108"/>
      <c r="AC195" s="108"/>
      <c r="AD195" s="110"/>
      <c r="AE195" s="110"/>
      <c r="AF195" s="110"/>
      <c r="AG195" s="108"/>
      <c r="AH195" s="108"/>
      <c r="AI195" s="109"/>
    </row>
    <row r="196" spans="2:35" s="22" customFormat="1" ht="15" hidden="1" thickBot="1">
      <c r="B196" s="23" t="s">
        <v>64</v>
      </c>
      <c r="C196" s="24" t="str">
        <f>BIN2HEX(D196&amp;E196&amp;F196&amp;G196)&amp;BIN2HEX(H196&amp;I196&amp;J196&amp;K196)&amp;BIN2HEX(L196&amp;M196&amp;N196&amp;O196)&amp;BIN2HEX(P196&amp;Q196&amp;R196&amp;S196)&amp;BIN2HEX(T196&amp;U196&amp;V196&amp;W196)&amp;BIN2HEX(X196&amp;Y196&amp;Z196&amp;AA196)&amp;BIN2HEX(AB196&amp;AC196&amp;AD196&amp;AE196)&amp;BIN2HEX(AF196&amp;AG196&amp;AH196&amp;AI196)</f>
        <v>00000028</v>
      </c>
      <c r="D196" s="25">
        <v>0</v>
      </c>
      <c r="E196" s="25">
        <v>0</v>
      </c>
      <c r="F196" s="25">
        <v>0</v>
      </c>
      <c r="G196" s="25">
        <v>0</v>
      </c>
      <c r="H196" s="25">
        <v>0</v>
      </c>
      <c r="I196" s="25">
        <v>0</v>
      </c>
      <c r="J196" s="25">
        <v>0</v>
      </c>
      <c r="K196" s="25">
        <v>0</v>
      </c>
      <c r="L196" s="25">
        <v>0</v>
      </c>
      <c r="M196" s="25">
        <v>0</v>
      </c>
      <c r="N196" s="25">
        <v>0</v>
      </c>
      <c r="O196" s="25">
        <v>0</v>
      </c>
      <c r="P196" s="25">
        <v>0</v>
      </c>
      <c r="Q196" s="25">
        <v>0</v>
      </c>
      <c r="R196" s="25">
        <v>0</v>
      </c>
      <c r="S196" s="25">
        <v>0</v>
      </c>
      <c r="T196" s="25">
        <v>0</v>
      </c>
      <c r="U196" s="25">
        <v>0</v>
      </c>
      <c r="V196" s="25">
        <v>0</v>
      </c>
      <c r="W196" s="25">
        <v>0</v>
      </c>
      <c r="X196" s="25">
        <v>0</v>
      </c>
      <c r="Y196" s="25">
        <v>0</v>
      </c>
      <c r="Z196" s="25">
        <v>0</v>
      </c>
      <c r="AA196" s="25">
        <v>0</v>
      </c>
      <c r="AB196" s="25">
        <v>0</v>
      </c>
      <c r="AC196" s="25">
        <v>0</v>
      </c>
      <c r="AD196" s="29">
        <f>MOD(ROUNDDOWN(ROUNDDOWN(240/C27,0)/4,0),2)</f>
        <v>1</v>
      </c>
      <c r="AE196" s="29">
        <f>MOD(ROUNDDOWN(ROUNDDOWN(240/C27,0)/2,0),2)</f>
        <v>0</v>
      </c>
      <c r="AF196" s="29">
        <f>MOD(ROUNDDOWN(240/C27,0),2)</f>
        <v>1</v>
      </c>
      <c r="AG196" s="25">
        <v>0</v>
      </c>
      <c r="AH196" s="25">
        <v>0</v>
      </c>
      <c r="AI196" s="26">
        <v>0</v>
      </c>
    </row>
    <row r="197" spans="2:35" ht="15" hidden="1" thickBot="1"/>
    <row r="198" spans="2:35" s="22" customFormat="1" ht="15.6" hidden="1">
      <c r="B198" s="17" t="s">
        <v>280</v>
      </c>
      <c r="C198" s="18" t="s">
        <v>6</v>
      </c>
      <c r="D198" s="19">
        <v>31</v>
      </c>
      <c r="E198" s="19">
        <v>30</v>
      </c>
      <c r="F198" s="19">
        <v>29</v>
      </c>
      <c r="G198" s="19">
        <v>28</v>
      </c>
      <c r="H198" s="19">
        <v>27</v>
      </c>
      <c r="I198" s="19">
        <v>26</v>
      </c>
      <c r="J198" s="19">
        <v>25</v>
      </c>
      <c r="K198" s="19">
        <v>24</v>
      </c>
      <c r="L198" s="19">
        <v>23</v>
      </c>
      <c r="M198" s="19">
        <v>22</v>
      </c>
      <c r="N198" s="19">
        <v>21</v>
      </c>
      <c r="O198" s="19">
        <v>20</v>
      </c>
      <c r="P198" s="19">
        <v>19</v>
      </c>
      <c r="Q198" s="19">
        <v>18</v>
      </c>
      <c r="R198" s="19">
        <v>17</v>
      </c>
      <c r="S198" s="19">
        <v>16</v>
      </c>
      <c r="T198" s="19">
        <v>15</v>
      </c>
      <c r="U198" s="19">
        <v>14</v>
      </c>
      <c r="V198" s="19">
        <v>13</v>
      </c>
      <c r="W198" s="19">
        <v>12</v>
      </c>
      <c r="X198" s="19">
        <v>11</v>
      </c>
      <c r="Y198" s="19">
        <v>10</v>
      </c>
      <c r="Z198" s="19">
        <v>9</v>
      </c>
      <c r="AA198" s="19">
        <v>8</v>
      </c>
      <c r="AB198" s="19">
        <v>7</v>
      </c>
      <c r="AC198" s="19">
        <v>6</v>
      </c>
      <c r="AD198" s="19">
        <v>5</v>
      </c>
      <c r="AE198" s="19">
        <v>4</v>
      </c>
      <c r="AF198" s="19">
        <v>3</v>
      </c>
      <c r="AG198" s="19">
        <v>2</v>
      </c>
      <c r="AH198" s="19">
        <v>1</v>
      </c>
      <c r="AI198" s="20">
        <v>0</v>
      </c>
    </row>
    <row r="199" spans="2:35" s="22" customFormat="1" ht="15.75" hidden="1" customHeight="1">
      <c r="B199" s="111" t="s">
        <v>315</v>
      </c>
      <c r="C199" s="124"/>
      <c r="D199" s="113"/>
      <c r="E199" s="114"/>
      <c r="F199" s="114"/>
      <c r="G199" s="114"/>
      <c r="H199" s="114"/>
      <c r="I199" s="114"/>
      <c r="J199" s="114"/>
      <c r="K199" s="114"/>
      <c r="L199" s="114"/>
      <c r="M199" s="114"/>
      <c r="N199" s="114"/>
      <c r="O199" s="114"/>
      <c r="P199" s="114"/>
      <c r="Q199" s="115"/>
      <c r="R199" s="119" t="s">
        <v>17</v>
      </c>
      <c r="S199" s="110" t="s">
        <v>18</v>
      </c>
      <c r="T199" s="113"/>
      <c r="U199" s="114"/>
      <c r="V199" s="114"/>
      <c r="W199" s="114"/>
      <c r="X199" s="115"/>
      <c r="Y199" s="110" t="s">
        <v>19</v>
      </c>
      <c r="Z199" s="110"/>
      <c r="AA199" s="110"/>
      <c r="AB199" s="108"/>
      <c r="AC199" s="108"/>
      <c r="AD199" s="110" t="s">
        <v>20</v>
      </c>
      <c r="AE199" s="110"/>
      <c r="AF199" s="110"/>
      <c r="AG199" s="108"/>
      <c r="AH199" s="108"/>
      <c r="AI199" s="109"/>
    </row>
    <row r="200" spans="2:35" s="22" customFormat="1" ht="15" hidden="1" customHeight="1">
      <c r="B200" s="112"/>
      <c r="C200" s="124"/>
      <c r="D200" s="116"/>
      <c r="E200" s="117"/>
      <c r="F200" s="117"/>
      <c r="G200" s="117"/>
      <c r="H200" s="117"/>
      <c r="I200" s="117"/>
      <c r="J200" s="117"/>
      <c r="K200" s="117"/>
      <c r="L200" s="117"/>
      <c r="M200" s="117"/>
      <c r="N200" s="117"/>
      <c r="O200" s="117"/>
      <c r="P200" s="117"/>
      <c r="Q200" s="118"/>
      <c r="R200" s="119"/>
      <c r="S200" s="110"/>
      <c r="T200" s="116"/>
      <c r="U200" s="117"/>
      <c r="V200" s="117"/>
      <c r="W200" s="117"/>
      <c r="X200" s="118"/>
      <c r="Y200" s="110"/>
      <c r="Z200" s="110"/>
      <c r="AA200" s="110"/>
      <c r="AB200" s="108"/>
      <c r="AC200" s="108"/>
      <c r="AD200" s="110"/>
      <c r="AE200" s="110"/>
      <c r="AF200" s="110"/>
      <c r="AG200" s="108"/>
      <c r="AH200" s="108"/>
      <c r="AI200" s="109"/>
    </row>
    <row r="201" spans="2:35" s="22" customFormat="1" ht="15" hidden="1" thickBot="1">
      <c r="B201" s="23" t="s">
        <v>65</v>
      </c>
      <c r="C201" s="24" t="str">
        <f>BIN2HEX(D201&amp;E201&amp;F201&amp;G201)&amp;BIN2HEX(H201&amp;I201&amp;J201&amp;K201)&amp;BIN2HEX(L201&amp;M201&amp;N201&amp;O201)&amp;BIN2HEX(P201&amp;Q201&amp;R201&amp;S201)&amp;BIN2HEX(T201&amp;U201&amp;V201&amp;W201)&amp;BIN2HEX(X201&amp;Y201&amp;Z201&amp;AA201)&amp;BIN2HEX(AB201&amp;AC201&amp;AD201&amp;AE201)&amp;BIN2HEX(AF201&amp;AG201&amp;AH201&amp;AI201)</f>
        <v>00000028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>
        <v>0</v>
      </c>
      <c r="P201" s="25">
        <v>0</v>
      </c>
      <c r="Q201" s="25">
        <v>0</v>
      </c>
      <c r="R201" s="25">
        <v>0</v>
      </c>
      <c r="S201" s="25">
        <v>0</v>
      </c>
      <c r="T201" s="25">
        <v>0</v>
      </c>
      <c r="U201" s="25">
        <v>0</v>
      </c>
      <c r="V201" s="25">
        <v>0</v>
      </c>
      <c r="W201" s="25">
        <v>0</v>
      </c>
      <c r="X201" s="25">
        <v>0</v>
      </c>
      <c r="Y201" s="25">
        <v>0</v>
      </c>
      <c r="Z201" s="25">
        <v>0</v>
      </c>
      <c r="AA201" s="25">
        <v>0</v>
      </c>
      <c r="AB201" s="25">
        <v>0</v>
      </c>
      <c r="AC201" s="25">
        <v>0</v>
      </c>
      <c r="AD201" s="29">
        <f>MOD(ROUNDDOWN(ROUNDDOWN(240/C27,0)/4,0),2)</f>
        <v>1</v>
      </c>
      <c r="AE201" s="29">
        <f>MOD(ROUNDDOWN(ROUNDDOWN(240/C27,0)/2,0),2)</f>
        <v>0</v>
      </c>
      <c r="AF201" s="29">
        <f>MOD(ROUNDDOWN(240/C27,0),2)</f>
        <v>1</v>
      </c>
      <c r="AG201" s="25">
        <v>0</v>
      </c>
      <c r="AH201" s="25">
        <v>0</v>
      </c>
      <c r="AI201" s="26">
        <v>0</v>
      </c>
    </row>
    <row r="202" spans="2:35" ht="15" hidden="1" thickBot="1"/>
    <row r="203" spans="2:35" s="22" customFormat="1" ht="15.6" hidden="1">
      <c r="B203" s="17" t="s">
        <v>280</v>
      </c>
      <c r="C203" s="18" t="s">
        <v>6</v>
      </c>
      <c r="D203" s="19">
        <v>31</v>
      </c>
      <c r="E203" s="19">
        <v>30</v>
      </c>
      <c r="F203" s="19">
        <v>29</v>
      </c>
      <c r="G203" s="19">
        <v>28</v>
      </c>
      <c r="H203" s="19">
        <v>27</v>
      </c>
      <c r="I203" s="19">
        <v>26</v>
      </c>
      <c r="J203" s="19">
        <v>25</v>
      </c>
      <c r="K203" s="19">
        <v>24</v>
      </c>
      <c r="L203" s="19">
        <v>23</v>
      </c>
      <c r="M203" s="19">
        <v>22</v>
      </c>
      <c r="N203" s="19">
        <v>21</v>
      </c>
      <c r="O203" s="19">
        <v>20</v>
      </c>
      <c r="P203" s="19">
        <v>19</v>
      </c>
      <c r="Q203" s="19">
        <v>18</v>
      </c>
      <c r="R203" s="19">
        <v>17</v>
      </c>
      <c r="S203" s="19">
        <v>16</v>
      </c>
      <c r="T203" s="19">
        <v>15</v>
      </c>
      <c r="U203" s="19">
        <v>14</v>
      </c>
      <c r="V203" s="19">
        <v>13</v>
      </c>
      <c r="W203" s="19">
        <v>12</v>
      </c>
      <c r="X203" s="19">
        <v>11</v>
      </c>
      <c r="Y203" s="19">
        <v>10</v>
      </c>
      <c r="Z203" s="19">
        <v>9</v>
      </c>
      <c r="AA203" s="19">
        <v>8</v>
      </c>
      <c r="AB203" s="19">
        <v>7</v>
      </c>
      <c r="AC203" s="19">
        <v>6</v>
      </c>
      <c r="AD203" s="19">
        <v>5</v>
      </c>
      <c r="AE203" s="19">
        <v>4</v>
      </c>
      <c r="AF203" s="19">
        <v>3</v>
      </c>
      <c r="AG203" s="19">
        <v>2</v>
      </c>
      <c r="AH203" s="19">
        <v>1</v>
      </c>
      <c r="AI203" s="20">
        <v>0</v>
      </c>
    </row>
    <row r="204" spans="2:35" s="22" customFormat="1" ht="15.75" hidden="1" customHeight="1">
      <c r="B204" s="111" t="s">
        <v>316</v>
      </c>
      <c r="C204" s="124"/>
      <c r="D204" s="113"/>
      <c r="E204" s="114"/>
      <c r="F204" s="114"/>
      <c r="G204" s="114"/>
      <c r="H204" s="114"/>
      <c r="I204" s="114"/>
      <c r="J204" s="114"/>
      <c r="K204" s="114"/>
      <c r="L204" s="114"/>
      <c r="M204" s="114"/>
      <c r="N204" s="114"/>
      <c r="O204" s="114"/>
      <c r="P204" s="114"/>
      <c r="Q204" s="115"/>
      <c r="R204" s="119" t="s">
        <v>17</v>
      </c>
      <c r="S204" s="110" t="s">
        <v>18</v>
      </c>
      <c r="T204" s="113"/>
      <c r="U204" s="114"/>
      <c r="V204" s="114"/>
      <c r="W204" s="114"/>
      <c r="X204" s="115"/>
      <c r="Y204" s="110" t="s">
        <v>19</v>
      </c>
      <c r="Z204" s="110"/>
      <c r="AA204" s="110"/>
      <c r="AB204" s="108"/>
      <c r="AC204" s="108"/>
      <c r="AD204" s="110" t="s">
        <v>20</v>
      </c>
      <c r="AE204" s="110"/>
      <c r="AF204" s="110"/>
      <c r="AG204" s="108"/>
      <c r="AH204" s="108"/>
      <c r="AI204" s="109"/>
    </row>
    <row r="205" spans="2:35" s="22" customFormat="1" ht="15" hidden="1" customHeight="1">
      <c r="B205" s="112"/>
      <c r="C205" s="124"/>
      <c r="D205" s="116"/>
      <c r="E205" s="117"/>
      <c r="F205" s="117"/>
      <c r="G205" s="117"/>
      <c r="H205" s="117"/>
      <c r="I205" s="117"/>
      <c r="J205" s="117"/>
      <c r="K205" s="117"/>
      <c r="L205" s="117"/>
      <c r="M205" s="117"/>
      <c r="N205" s="117"/>
      <c r="O205" s="117"/>
      <c r="P205" s="117"/>
      <c r="Q205" s="118"/>
      <c r="R205" s="119"/>
      <c r="S205" s="110"/>
      <c r="T205" s="116"/>
      <c r="U205" s="117"/>
      <c r="V205" s="117"/>
      <c r="W205" s="117"/>
      <c r="X205" s="118"/>
      <c r="Y205" s="110"/>
      <c r="Z205" s="110"/>
      <c r="AA205" s="110"/>
      <c r="AB205" s="108"/>
      <c r="AC205" s="108"/>
      <c r="AD205" s="110"/>
      <c r="AE205" s="110"/>
      <c r="AF205" s="110"/>
      <c r="AG205" s="108"/>
      <c r="AH205" s="108"/>
      <c r="AI205" s="109"/>
    </row>
    <row r="206" spans="2:35" s="22" customFormat="1" ht="15" hidden="1" thickBot="1">
      <c r="B206" s="23" t="s">
        <v>66</v>
      </c>
      <c r="C206" s="24" t="str">
        <f>BIN2HEX(D206&amp;E206&amp;F206&amp;G206)&amp;BIN2HEX(H206&amp;I206&amp;J206&amp;K206)&amp;BIN2HEX(L206&amp;M206&amp;N206&amp;O206)&amp;BIN2HEX(P206&amp;Q206&amp;R206&amp;S206)&amp;BIN2HEX(T206&amp;U206&amp;V206&amp;W206)&amp;BIN2HEX(X206&amp;Y206&amp;Z206&amp;AA206)&amp;BIN2HEX(AB206&amp;AC206&amp;AD206&amp;AE206)&amp;BIN2HEX(AF206&amp;AG206&amp;AH206&amp;AI206)</f>
        <v>00000028</v>
      </c>
      <c r="D206" s="25">
        <v>0</v>
      </c>
      <c r="E206" s="25">
        <v>0</v>
      </c>
      <c r="F206" s="25">
        <v>0</v>
      </c>
      <c r="G206" s="25">
        <v>0</v>
      </c>
      <c r="H206" s="25">
        <v>0</v>
      </c>
      <c r="I206" s="25">
        <v>0</v>
      </c>
      <c r="J206" s="25">
        <v>0</v>
      </c>
      <c r="K206" s="25">
        <v>0</v>
      </c>
      <c r="L206" s="25">
        <v>0</v>
      </c>
      <c r="M206" s="25">
        <v>0</v>
      </c>
      <c r="N206" s="25">
        <v>0</v>
      </c>
      <c r="O206" s="25">
        <v>0</v>
      </c>
      <c r="P206" s="25">
        <v>0</v>
      </c>
      <c r="Q206" s="25">
        <v>0</v>
      </c>
      <c r="R206" s="25">
        <v>0</v>
      </c>
      <c r="S206" s="25">
        <v>0</v>
      </c>
      <c r="T206" s="25">
        <v>0</v>
      </c>
      <c r="U206" s="25">
        <v>0</v>
      </c>
      <c r="V206" s="25">
        <v>0</v>
      </c>
      <c r="W206" s="25">
        <v>0</v>
      </c>
      <c r="X206" s="25">
        <v>0</v>
      </c>
      <c r="Y206" s="25">
        <v>0</v>
      </c>
      <c r="Z206" s="25">
        <v>0</v>
      </c>
      <c r="AA206" s="25">
        <v>0</v>
      </c>
      <c r="AB206" s="25">
        <v>0</v>
      </c>
      <c r="AC206" s="25">
        <v>0</v>
      </c>
      <c r="AD206" s="29">
        <f>MOD(ROUNDDOWN(ROUNDDOWN(240/C27,0)/4,0),2)</f>
        <v>1</v>
      </c>
      <c r="AE206" s="29">
        <f>MOD(ROUNDDOWN(ROUNDDOWN(240/C27,0)/2,0),2)</f>
        <v>0</v>
      </c>
      <c r="AF206" s="29">
        <f>MOD(ROUNDDOWN(240/C27,0),2)</f>
        <v>1</v>
      </c>
      <c r="AG206" s="25">
        <v>0</v>
      </c>
      <c r="AH206" s="25">
        <v>0</v>
      </c>
      <c r="AI206" s="26">
        <v>0</v>
      </c>
    </row>
    <row r="207" spans="2:35" ht="15" hidden="1" thickBot="1"/>
    <row r="208" spans="2:35" s="22" customFormat="1" ht="15.6" hidden="1">
      <c r="B208" s="17" t="s">
        <v>280</v>
      </c>
      <c r="C208" s="18" t="s">
        <v>6</v>
      </c>
      <c r="D208" s="19">
        <v>31</v>
      </c>
      <c r="E208" s="19">
        <v>30</v>
      </c>
      <c r="F208" s="19">
        <v>29</v>
      </c>
      <c r="G208" s="19">
        <v>28</v>
      </c>
      <c r="H208" s="19">
        <v>27</v>
      </c>
      <c r="I208" s="19">
        <v>26</v>
      </c>
      <c r="J208" s="19">
        <v>25</v>
      </c>
      <c r="K208" s="19">
        <v>24</v>
      </c>
      <c r="L208" s="19">
        <v>23</v>
      </c>
      <c r="M208" s="19">
        <v>22</v>
      </c>
      <c r="N208" s="19">
        <v>21</v>
      </c>
      <c r="O208" s="19">
        <v>20</v>
      </c>
      <c r="P208" s="19">
        <v>19</v>
      </c>
      <c r="Q208" s="19">
        <v>18</v>
      </c>
      <c r="R208" s="19">
        <v>17</v>
      </c>
      <c r="S208" s="19">
        <v>16</v>
      </c>
      <c r="T208" s="19">
        <v>15</v>
      </c>
      <c r="U208" s="19">
        <v>14</v>
      </c>
      <c r="V208" s="19">
        <v>13</v>
      </c>
      <c r="W208" s="19">
        <v>12</v>
      </c>
      <c r="X208" s="19">
        <v>11</v>
      </c>
      <c r="Y208" s="19">
        <v>10</v>
      </c>
      <c r="Z208" s="19">
        <v>9</v>
      </c>
      <c r="AA208" s="19">
        <v>8</v>
      </c>
      <c r="AB208" s="19">
        <v>7</v>
      </c>
      <c r="AC208" s="19">
        <v>6</v>
      </c>
      <c r="AD208" s="19">
        <v>5</v>
      </c>
      <c r="AE208" s="19">
        <v>4</v>
      </c>
      <c r="AF208" s="19">
        <v>3</v>
      </c>
      <c r="AG208" s="19">
        <v>2</v>
      </c>
      <c r="AH208" s="19">
        <v>1</v>
      </c>
      <c r="AI208" s="20">
        <v>0</v>
      </c>
    </row>
    <row r="209" spans="2:35" s="22" customFormat="1" ht="15.75" hidden="1" customHeight="1">
      <c r="B209" s="111" t="s">
        <v>317</v>
      </c>
      <c r="C209" s="124"/>
      <c r="D209" s="113"/>
      <c r="E209" s="114"/>
      <c r="F209" s="114"/>
      <c r="G209" s="114"/>
      <c r="H209" s="114"/>
      <c r="I209" s="114"/>
      <c r="J209" s="114"/>
      <c r="K209" s="114"/>
      <c r="L209" s="114"/>
      <c r="M209" s="114"/>
      <c r="N209" s="114"/>
      <c r="O209" s="114"/>
      <c r="P209" s="114"/>
      <c r="Q209" s="115"/>
      <c r="R209" s="119" t="s">
        <v>17</v>
      </c>
      <c r="S209" s="110" t="s">
        <v>18</v>
      </c>
      <c r="T209" s="113"/>
      <c r="U209" s="114"/>
      <c r="V209" s="114"/>
      <c r="W209" s="114"/>
      <c r="X209" s="115"/>
      <c r="Y209" s="110" t="s">
        <v>19</v>
      </c>
      <c r="Z209" s="110"/>
      <c r="AA209" s="110"/>
      <c r="AB209" s="108"/>
      <c r="AC209" s="108"/>
      <c r="AD209" s="110" t="s">
        <v>20</v>
      </c>
      <c r="AE209" s="110"/>
      <c r="AF209" s="110"/>
      <c r="AG209" s="108"/>
      <c r="AH209" s="108"/>
      <c r="AI209" s="109"/>
    </row>
    <row r="210" spans="2:35" s="22" customFormat="1" ht="15" hidden="1" customHeight="1">
      <c r="B210" s="112"/>
      <c r="C210" s="124"/>
      <c r="D210" s="116"/>
      <c r="E210" s="117"/>
      <c r="F210" s="117"/>
      <c r="G210" s="117"/>
      <c r="H210" s="117"/>
      <c r="I210" s="117"/>
      <c r="J210" s="117"/>
      <c r="K210" s="117"/>
      <c r="L210" s="117"/>
      <c r="M210" s="117"/>
      <c r="N210" s="117"/>
      <c r="O210" s="117"/>
      <c r="P210" s="117"/>
      <c r="Q210" s="118"/>
      <c r="R210" s="119"/>
      <c r="S210" s="110"/>
      <c r="T210" s="116"/>
      <c r="U210" s="117"/>
      <c r="V210" s="117"/>
      <c r="W210" s="117"/>
      <c r="X210" s="118"/>
      <c r="Y210" s="110"/>
      <c r="Z210" s="110"/>
      <c r="AA210" s="110"/>
      <c r="AB210" s="108"/>
      <c r="AC210" s="108"/>
      <c r="AD210" s="110"/>
      <c r="AE210" s="110"/>
      <c r="AF210" s="110"/>
      <c r="AG210" s="108"/>
      <c r="AH210" s="108"/>
      <c r="AI210" s="109"/>
    </row>
    <row r="211" spans="2:35" s="22" customFormat="1" ht="15" hidden="1" thickBot="1">
      <c r="B211" s="23" t="s">
        <v>67</v>
      </c>
      <c r="C211" s="24" t="str">
        <f>BIN2HEX(D211&amp;E211&amp;F211&amp;G211)&amp;BIN2HEX(H211&amp;I211&amp;J211&amp;K211)&amp;BIN2HEX(L211&amp;M211&amp;N211&amp;O211)&amp;BIN2HEX(P211&amp;Q211&amp;R211&amp;S211)&amp;BIN2HEX(T211&amp;U211&amp;V211&amp;W211)&amp;BIN2HEX(X211&amp;Y211&amp;Z211&amp;AA211)&amp;BIN2HEX(AB211&amp;AC211&amp;AD211&amp;AE211)&amp;BIN2HEX(AF211&amp;AG211&amp;AH211&amp;AI211)</f>
        <v>00000028</v>
      </c>
      <c r="D211" s="25">
        <v>0</v>
      </c>
      <c r="E211" s="25">
        <v>0</v>
      </c>
      <c r="F211" s="25">
        <v>0</v>
      </c>
      <c r="G211" s="25">
        <v>0</v>
      </c>
      <c r="H211" s="25">
        <v>0</v>
      </c>
      <c r="I211" s="25">
        <v>0</v>
      </c>
      <c r="J211" s="25">
        <v>0</v>
      </c>
      <c r="K211" s="25">
        <v>0</v>
      </c>
      <c r="L211" s="25">
        <v>0</v>
      </c>
      <c r="M211" s="25">
        <v>0</v>
      </c>
      <c r="N211" s="25">
        <v>0</v>
      </c>
      <c r="O211" s="25">
        <v>0</v>
      </c>
      <c r="P211" s="25">
        <v>0</v>
      </c>
      <c r="Q211" s="25">
        <v>0</v>
      </c>
      <c r="R211" s="25">
        <v>0</v>
      </c>
      <c r="S211" s="25">
        <v>0</v>
      </c>
      <c r="T211" s="25">
        <v>0</v>
      </c>
      <c r="U211" s="25">
        <v>0</v>
      </c>
      <c r="V211" s="25">
        <v>0</v>
      </c>
      <c r="W211" s="25">
        <v>0</v>
      </c>
      <c r="X211" s="25">
        <v>0</v>
      </c>
      <c r="Y211" s="25">
        <v>0</v>
      </c>
      <c r="Z211" s="25">
        <v>0</v>
      </c>
      <c r="AA211" s="25">
        <v>0</v>
      </c>
      <c r="AB211" s="25">
        <v>0</v>
      </c>
      <c r="AC211" s="25">
        <v>0</v>
      </c>
      <c r="AD211" s="29">
        <f>MOD(ROUNDDOWN(ROUNDDOWN(240/C27,0)/4,0),2)</f>
        <v>1</v>
      </c>
      <c r="AE211" s="29">
        <f>MOD(ROUNDDOWN(ROUNDDOWN(240/C27,0)/2,0),2)</f>
        <v>0</v>
      </c>
      <c r="AF211" s="29">
        <f>MOD(ROUNDDOWN(240/C27,0),2)</f>
        <v>1</v>
      </c>
      <c r="AG211" s="25">
        <v>0</v>
      </c>
      <c r="AH211" s="25">
        <v>0</v>
      </c>
      <c r="AI211" s="26">
        <v>0</v>
      </c>
    </row>
    <row r="212" spans="2:35" ht="15" hidden="1" thickBot="1"/>
    <row r="213" spans="2:35" s="22" customFormat="1" ht="15.6" hidden="1">
      <c r="B213" s="17" t="s">
        <v>280</v>
      </c>
      <c r="C213" s="18" t="s">
        <v>6</v>
      </c>
      <c r="D213" s="19">
        <v>31</v>
      </c>
      <c r="E213" s="19">
        <v>30</v>
      </c>
      <c r="F213" s="19">
        <v>29</v>
      </c>
      <c r="G213" s="19">
        <v>28</v>
      </c>
      <c r="H213" s="19">
        <v>27</v>
      </c>
      <c r="I213" s="19">
        <v>26</v>
      </c>
      <c r="J213" s="19">
        <v>25</v>
      </c>
      <c r="K213" s="19">
        <v>24</v>
      </c>
      <c r="L213" s="19">
        <v>23</v>
      </c>
      <c r="M213" s="19">
        <v>22</v>
      </c>
      <c r="N213" s="19">
        <v>21</v>
      </c>
      <c r="O213" s="19">
        <v>20</v>
      </c>
      <c r="P213" s="19">
        <v>19</v>
      </c>
      <c r="Q213" s="19">
        <v>18</v>
      </c>
      <c r="R213" s="19">
        <v>17</v>
      </c>
      <c r="S213" s="19">
        <v>16</v>
      </c>
      <c r="T213" s="19">
        <v>15</v>
      </c>
      <c r="U213" s="19">
        <v>14</v>
      </c>
      <c r="V213" s="19">
        <v>13</v>
      </c>
      <c r="W213" s="19">
        <v>12</v>
      </c>
      <c r="X213" s="19">
        <v>11</v>
      </c>
      <c r="Y213" s="19">
        <v>10</v>
      </c>
      <c r="Z213" s="19">
        <v>9</v>
      </c>
      <c r="AA213" s="19">
        <v>8</v>
      </c>
      <c r="AB213" s="19">
        <v>7</v>
      </c>
      <c r="AC213" s="19">
        <v>6</v>
      </c>
      <c r="AD213" s="19">
        <v>5</v>
      </c>
      <c r="AE213" s="19">
        <v>4</v>
      </c>
      <c r="AF213" s="19">
        <v>3</v>
      </c>
      <c r="AG213" s="19">
        <v>2</v>
      </c>
      <c r="AH213" s="19">
        <v>1</v>
      </c>
      <c r="AI213" s="20">
        <v>0</v>
      </c>
    </row>
    <row r="214" spans="2:35" s="22" customFormat="1" ht="15.75" hidden="1" customHeight="1">
      <c r="B214" s="111" t="s">
        <v>318</v>
      </c>
      <c r="C214" s="124"/>
      <c r="D214" s="113"/>
      <c r="E214" s="114"/>
      <c r="F214" s="114"/>
      <c r="G214" s="114"/>
      <c r="H214" s="114"/>
      <c r="I214" s="114"/>
      <c r="J214" s="114"/>
      <c r="K214" s="114"/>
      <c r="L214" s="114"/>
      <c r="M214" s="114"/>
      <c r="N214" s="114"/>
      <c r="O214" s="114"/>
      <c r="P214" s="114"/>
      <c r="Q214" s="115"/>
      <c r="R214" s="119" t="s">
        <v>17</v>
      </c>
      <c r="S214" s="110" t="s">
        <v>18</v>
      </c>
      <c r="T214" s="113"/>
      <c r="U214" s="114"/>
      <c r="V214" s="114"/>
      <c r="W214" s="114"/>
      <c r="X214" s="115"/>
      <c r="Y214" s="110" t="s">
        <v>19</v>
      </c>
      <c r="Z214" s="110"/>
      <c r="AA214" s="110"/>
      <c r="AB214" s="108"/>
      <c r="AC214" s="108"/>
      <c r="AD214" s="110" t="s">
        <v>20</v>
      </c>
      <c r="AE214" s="110"/>
      <c r="AF214" s="110"/>
      <c r="AG214" s="108"/>
      <c r="AH214" s="108"/>
      <c r="AI214" s="109"/>
    </row>
    <row r="215" spans="2:35" s="22" customFormat="1" ht="15" hidden="1" customHeight="1">
      <c r="B215" s="112"/>
      <c r="C215" s="124"/>
      <c r="D215" s="116"/>
      <c r="E215" s="117"/>
      <c r="F215" s="117"/>
      <c r="G215" s="117"/>
      <c r="H215" s="117"/>
      <c r="I215" s="117"/>
      <c r="J215" s="117"/>
      <c r="K215" s="117"/>
      <c r="L215" s="117"/>
      <c r="M215" s="117"/>
      <c r="N215" s="117"/>
      <c r="O215" s="117"/>
      <c r="P215" s="117"/>
      <c r="Q215" s="118"/>
      <c r="R215" s="119"/>
      <c r="S215" s="110"/>
      <c r="T215" s="116"/>
      <c r="U215" s="117"/>
      <c r="V215" s="117"/>
      <c r="W215" s="117"/>
      <c r="X215" s="118"/>
      <c r="Y215" s="110"/>
      <c r="Z215" s="110"/>
      <c r="AA215" s="110"/>
      <c r="AB215" s="108"/>
      <c r="AC215" s="108"/>
      <c r="AD215" s="110"/>
      <c r="AE215" s="110"/>
      <c r="AF215" s="110"/>
      <c r="AG215" s="108"/>
      <c r="AH215" s="108"/>
      <c r="AI215" s="109"/>
    </row>
    <row r="216" spans="2:35" s="22" customFormat="1" ht="15" hidden="1" thickBot="1">
      <c r="B216" s="23" t="s">
        <v>68</v>
      </c>
      <c r="C216" s="24" t="str">
        <f>BIN2HEX(D216&amp;E216&amp;F216&amp;G216)&amp;BIN2HEX(H216&amp;I216&amp;J216&amp;K216)&amp;BIN2HEX(L216&amp;M216&amp;N216&amp;O216)&amp;BIN2HEX(P216&amp;Q216&amp;R216&amp;S216)&amp;BIN2HEX(T216&amp;U216&amp;V216&amp;W216)&amp;BIN2HEX(X216&amp;Y216&amp;Z216&amp;AA216)&amp;BIN2HEX(AB216&amp;AC216&amp;AD216&amp;AE216)&amp;BIN2HEX(AF216&amp;AG216&amp;AH216&amp;AI216)</f>
        <v>00000028</v>
      </c>
      <c r="D216" s="25">
        <v>0</v>
      </c>
      <c r="E216" s="25">
        <v>0</v>
      </c>
      <c r="F216" s="25">
        <v>0</v>
      </c>
      <c r="G216" s="25">
        <v>0</v>
      </c>
      <c r="H216" s="25">
        <v>0</v>
      </c>
      <c r="I216" s="25">
        <v>0</v>
      </c>
      <c r="J216" s="25">
        <v>0</v>
      </c>
      <c r="K216" s="25">
        <v>0</v>
      </c>
      <c r="L216" s="25">
        <v>0</v>
      </c>
      <c r="M216" s="25">
        <v>0</v>
      </c>
      <c r="N216" s="25">
        <v>0</v>
      </c>
      <c r="O216" s="25">
        <v>0</v>
      </c>
      <c r="P216" s="25">
        <v>0</v>
      </c>
      <c r="Q216" s="25">
        <v>0</v>
      </c>
      <c r="R216" s="25">
        <v>0</v>
      </c>
      <c r="S216" s="25">
        <v>0</v>
      </c>
      <c r="T216" s="25">
        <v>0</v>
      </c>
      <c r="U216" s="25">
        <v>0</v>
      </c>
      <c r="V216" s="25">
        <v>0</v>
      </c>
      <c r="W216" s="25">
        <v>0</v>
      </c>
      <c r="X216" s="25">
        <v>0</v>
      </c>
      <c r="Y216" s="25">
        <v>0</v>
      </c>
      <c r="Z216" s="25">
        <v>0</v>
      </c>
      <c r="AA216" s="25">
        <v>0</v>
      </c>
      <c r="AB216" s="25">
        <v>0</v>
      </c>
      <c r="AC216" s="25">
        <v>0</v>
      </c>
      <c r="AD216" s="29">
        <f>MOD(ROUNDDOWN(ROUNDDOWN(240/C27,0)/4,0),2)</f>
        <v>1</v>
      </c>
      <c r="AE216" s="29">
        <f>MOD(ROUNDDOWN(ROUNDDOWN(240/C27,0)/2,0),2)</f>
        <v>0</v>
      </c>
      <c r="AF216" s="29">
        <f>MOD(ROUNDDOWN(240/C27,0),2)</f>
        <v>1</v>
      </c>
      <c r="AG216" s="25">
        <v>0</v>
      </c>
      <c r="AH216" s="25">
        <v>0</v>
      </c>
      <c r="AI216" s="26">
        <v>0</v>
      </c>
    </row>
    <row r="217" spans="2:35" ht="15" hidden="1" thickBot="1"/>
    <row r="218" spans="2:35" s="22" customFormat="1" ht="15.6" hidden="1">
      <c r="B218" s="17" t="s">
        <v>280</v>
      </c>
      <c r="C218" s="18" t="s">
        <v>6</v>
      </c>
      <c r="D218" s="19">
        <v>31</v>
      </c>
      <c r="E218" s="19">
        <v>30</v>
      </c>
      <c r="F218" s="19">
        <v>29</v>
      </c>
      <c r="G218" s="19">
        <v>28</v>
      </c>
      <c r="H218" s="19">
        <v>27</v>
      </c>
      <c r="I218" s="19">
        <v>26</v>
      </c>
      <c r="J218" s="19">
        <v>25</v>
      </c>
      <c r="K218" s="19">
        <v>24</v>
      </c>
      <c r="L218" s="19">
        <v>23</v>
      </c>
      <c r="M218" s="19">
        <v>22</v>
      </c>
      <c r="N218" s="19">
        <v>21</v>
      </c>
      <c r="O218" s="19">
        <v>20</v>
      </c>
      <c r="P218" s="19">
        <v>19</v>
      </c>
      <c r="Q218" s="19">
        <v>18</v>
      </c>
      <c r="R218" s="19">
        <v>17</v>
      </c>
      <c r="S218" s="19">
        <v>16</v>
      </c>
      <c r="T218" s="19">
        <v>15</v>
      </c>
      <c r="U218" s="19">
        <v>14</v>
      </c>
      <c r="V218" s="19">
        <v>13</v>
      </c>
      <c r="W218" s="19">
        <v>12</v>
      </c>
      <c r="X218" s="19">
        <v>11</v>
      </c>
      <c r="Y218" s="19">
        <v>10</v>
      </c>
      <c r="Z218" s="19">
        <v>9</v>
      </c>
      <c r="AA218" s="19">
        <v>8</v>
      </c>
      <c r="AB218" s="19">
        <v>7</v>
      </c>
      <c r="AC218" s="19">
        <v>6</v>
      </c>
      <c r="AD218" s="19">
        <v>5</v>
      </c>
      <c r="AE218" s="19">
        <v>4</v>
      </c>
      <c r="AF218" s="19">
        <v>3</v>
      </c>
      <c r="AG218" s="19">
        <v>2</v>
      </c>
      <c r="AH218" s="19">
        <v>1</v>
      </c>
      <c r="AI218" s="20">
        <v>0</v>
      </c>
    </row>
    <row r="219" spans="2:35" s="22" customFormat="1" ht="15.75" hidden="1" customHeight="1">
      <c r="B219" s="111" t="s">
        <v>319</v>
      </c>
      <c r="C219" s="124"/>
      <c r="D219" s="113"/>
      <c r="E219" s="114"/>
      <c r="F219" s="114"/>
      <c r="G219" s="114"/>
      <c r="H219" s="114"/>
      <c r="I219" s="114"/>
      <c r="J219" s="114"/>
      <c r="K219" s="114"/>
      <c r="L219" s="114"/>
      <c r="M219" s="114"/>
      <c r="N219" s="114"/>
      <c r="O219" s="114"/>
      <c r="P219" s="114"/>
      <c r="Q219" s="115"/>
      <c r="R219" s="119" t="s">
        <v>17</v>
      </c>
      <c r="S219" s="110" t="s">
        <v>18</v>
      </c>
      <c r="T219" s="113"/>
      <c r="U219" s="114"/>
      <c r="V219" s="114"/>
      <c r="W219" s="114"/>
      <c r="X219" s="115"/>
      <c r="Y219" s="110" t="s">
        <v>19</v>
      </c>
      <c r="Z219" s="110"/>
      <c r="AA219" s="110"/>
      <c r="AB219" s="108"/>
      <c r="AC219" s="108"/>
      <c r="AD219" s="110" t="s">
        <v>20</v>
      </c>
      <c r="AE219" s="110"/>
      <c r="AF219" s="110"/>
      <c r="AG219" s="108"/>
      <c r="AH219" s="108"/>
      <c r="AI219" s="109"/>
    </row>
    <row r="220" spans="2:35" s="22" customFormat="1" ht="15" hidden="1" customHeight="1">
      <c r="B220" s="112"/>
      <c r="C220" s="124"/>
      <c r="D220" s="116"/>
      <c r="E220" s="117"/>
      <c r="F220" s="117"/>
      <c r="G220" s="117"/>
      <c r="H220" s="117"/>
      <c r="I220" s="117"/>
      <c r="J220" s="117"/>
      <c r="K220" s="117"/>
      <c r="L220" s="117"/>
      <c r="M220" s="117"/>
      <c r="N220" s="117"/>
      <c r="O220" s="117"/>
      <c r="P220" s="117"/>
      <c r="Q220" s="118"/>
      <c r="R220" s="119"/>
      <c r="S220" s="110"/>
      <c r="T220" s="116"/>
      <c r="U220" s="117"/>
      <c r="V220" s="117"/>
      <c r="W220" s="117"/>
      <c r="X220" s="118"/>
      <c r="Y220" s="110"/>
      <c r="Z220" s="110"/>
      <c r="AA220" s="110"/>
      <c r="AB220" s="108"/>
      <c r="AC220" s="108"/>
      <c r="AD220" s="110"/>
      <c r="AE220" s="110"/>
      <c r="AF220" s="110"/>
      <c r="AG220" s="108"/>
      <c r="AH220" s="108"/>
      <c r="AI220" s="109"/>
    </row>
    <row r="221" spans="2:35" s="22" customFormat="1" ht="15" hidden="1" thickBot="1">
      <c r="B221" s="23" t="s">
        <v>69</v>
      </c>
      <c r="C221" s="24" t="str">
        <f>BIN2HEX(D221&amp;E221&amp;F221&amp;G221)&amp;BIN2HEX(H221&amp;I221&amp;J221&amp;K221)&amp;BIN2HEX(L221&amp;M221&amp;N221&amp;O221)&amp;BIN2HEX(P221&amp;Q221&amp;R221&amp;S221)&amp;BIN2HEX(T221&amp;U221&amp;V221&amp;W221)&amp;BIN2HEX(X221&amp;Y221&amp;Z221&amp;AA221)&amp;BIN2HEX(AB221&amp;AC221&amp;AD221&amp;AE221)&amp;BIN2HEX(AF221&amp;AG221&amp;AH221&amp;AI221)</f>
        <v>00000028</v>
      </c>
      <c r="D221" s="25">
        <v>0</v>
      </c>
      <c r="E221" s="25">
        <v>0</v>
      </c>
      <c r="F221" s="25">
        <v>0</v>
      </c>
      <c r="G221" s="25">
        <v>0</v>
      </c>
      <c r="H221" s="25">
        <v>0</v>
      </c>
      <c r="I221" s="25">
        <v>0</v>
      </c>
      <c r="J221" s="25">
        <v>0</v>
      </c>
      <c r="K221" s="25">
        <v>0</v>
      </c>
      <c r="L221" s="25">
        <v>0</v>
      </c>
      <c r="M221" s="25">
        <v>0</v>
      </c>
      <c r="N221" s="25">
        <v>0</v>
      </c>
      <c r="O221" s="25">
        <v>0</v>
      </c>
      <c r="P221" s="25">
        <v>0</v>
      </c>
      <c r="Q221" s="25">
        <v>0</v>
      </c>
      <c r="R221" s="25">
        <v>0</v>
      </c>
      <c r="S221" s="25">
        <v>0</v>
      </c>
      <c r="T221" s="25">
        <v>0</v>
      </c>
      <c r="U221" s="25">
        <v>0</v>
      </c>
      <c r="V221" s="25">
        <v>0</v>
      </c>
      <c r="W221" s="25">
        <v>0</v>
      </c>
      <c r="X221" s="25">
        <v>0</v>
      </c>
      <c r="Y221" s="25">
        <v>0</v>
      </c>
      <c r="Z221" s="25">
        <v>0</v>
      </c>
      <c r="AA221" s="25">
        <v>0</v>
      </c>
      <c r="AB221" s="25">
        <v>0</v>
      </c>
      <c r="AC221" s="25">
        <v>0</v>
      </c>
      <c r="AD221" s="29">
        <f>MOD(ROUNDDOWN(ROUNDDOWN(240/C27,0)/4,0),2)</f>
        <v>1</v>
      </c>
      <c r="AE221" s="29">
        <f>MOD(ROUNDDOWN(ROUNDDOWN(240/C27,0)/2,0),2)</f>
        <v>0</v>
      </c>
      <c r="AF221" s="29">
        <f>MOD(ROUNDDOWN(240/C27,0),2)</f>
        <v>1</v>
      </c>
      <c r="AG221" s="25">
        <v>0</v>
      </c>
      <c r="AH221" s="25">
        <v>0</v>
      </c>
      <c r="AI221" s="26">
        <v>0</v>
      </c>
    </row>
    <row r="222" spans="2:35" ht="15" hidden="1" thickBot="1"/>
    <row r="223" spans="2:35" s="22" customFormat="1" ht="15.6" hidden="1">
      <c r="B223" s="17" t="s">
        <v>280</v>
      </c>
      <c r="C223" s="18" t="s">
        <v>6</v>
      </c>
      <c r="D223" s="19">
        <v>31</v>
      </c>
      <c r="E223" s="19">
        <v>30</v>
      </c>
      <c r="F223" s="19">
        <v>29</v>
      </c>
      <c r="G223" s="19">
        <v>28</v>
      </c>
      <c r="H223" s="19">
        <v>27</v>
      </c>
      <c r="I223" s="19">
        <v>26</v>
      </c>
      <c r="J223" s="19">
        <v>25</v>
      </c>
      <c r="K223" s="19">
        <v>24</v>
      </c>
      <c r="L223" s="19">
        <v>23</v>
      </c>
      <c r="M223" s="19">
        <v>22</v>
      </c>
      <c r="N223" s="19">
        <v>21</v>
      </c>
      <c r="O223" s="19">
        <v>20</v>
      </c>
      <c r="P223" s="19">
        <v>19</v>
      </c>
      <c r="Q223" s="19">
        <v>18</v>
      </c>
      <c r="R223" s="19">
        <v>17</v>
      </c>
      <c r="S223" s="19">
        <v>16</v>
      </c>
      <c r="T223" s="19">
        <v>15</v>
      </c>
      <c r="U223" s="19">
        <v>14</v>
      </c>
      <c r="V223" s="19">
        <v>13</v>
      </c>
      <c r="W223" s="19">
        <v>12</v>
      </c>
      <c r="X223" s="19">
        <v>11</v>
      </c>
      <c r="Y223" s="19">
        <v>10</v>
      </c>
      <c r="Z223" s="19">
        <v>9</v>
      </c>
      <c r="AA223" s="19">
        <v>8</v>
      </c>
      <c r="AB223" s="19">
        <v>7</v>
      </c>
      <c r="AC223" s="19">
        <v>6</v>
      </c>
      <c r="AD223" s="19">
        <v>5</v>
      </c>
      <c r="AE223" s="19">
        <v>4</v>
      </c>
      <c r="AF223" s="19">
        <v>3</v>
      </c>
      <c r="AG223" s="19">
        <v>2</v>
      </c>
      <c r="AH223" s="19">
        <v>1</v>
      </c>
      <c r="AI223" s="20">
        <v>0</v>
      </c>
    </row>
    <row r="224" spans="2:35" s="22" customFormat="1" ht="15.75" hidden="1" customHeight="1">
      <c r="B224" s="111" t="s">
        <v>321</v>
      </c>
      <c r="C224" s="124"/>
      <c r="D224" s="120" t="s">
        <v>70</v>
      </c>
      <c r="E224" s="120"/>
      <c r="F224" s="120"/>
      <c r="G224" s="120"/>
      <c r="H224" s="120"/>
      <c r="I224" s="122"/>
      <c r="J224" s="120" t="s">
        <v>71</v>
      </c>
      <c r="K224" s="120"/>
      <c r="L224" s="120"/>
      <c r="M224" s="120" t="s">
        <v>72</v>
      </c>
      <c r="N224" s="120"/>
      <c r="O224" s="120"/>
      <c r="P224" s="120" t="s">
        <v>73</v>
      </c>
      <c r="Q224" s="120"/>
      <c r="R224" s="120"/>
      <c r="S224" s="110" t="s">
        <v>74</v>
      </c>
      <c r="T224" s="122"/>
      <c r="U224" s="122"/>
      <c r="V224" s="122"/>
      <c r="W224" s="122"/>
      <c r="X224" s="122"/>
      <c r="Y224" s="122"/>
      <c r="Z224" s="122"/>
      <c r="AA224" s="122"/>
      <c r="AB224" s="122"/>
      <c r="AC224" s="122"/>
      <c r="AD224" s="120" t="s">
        <v>75</v>
      </c>
      <c r="AE224" s="120"/>
      <c r="AF224" s="120"/>
      <c r="AG224" s="120"/>
      <c r="AH224" s="120" t="s">
        <v>76</v>
      </c>
      <c r="AI224" s="139"/>
    </row>
    <row r="225" spans="2:35" s="22" customFormat="1" ht="15" hidden="1" customHeight="1">
      <c r="B225" s="112"/>
      <c r="C225" s="124"/>
      <c r="D225" s="121"/>
      <c r="E225" s="121"/>
      <c r="F225" s="121"/>
      <c r="G225" s="121"/>
      <c r="H225" s="121"/>
      <c r="I225" s="123"/>
      <c r="J225" s="121"/>
      <c r="K225" s="121"/>
      <c r="L225" s="121"/>
      <c r="M225" s="121"/>
      <c r="N225" s="121"/>
      <c r="O225" s="121"/>
      <c r="P225" s="121"/>
      <c r="Q225" s="121"/>
      <c r="R225" s="121"/>
      <c r="S225" s="110"/>
      <c r="T225" s="123"/>
      <c r="U225" s="123"/>
      <c r="V225" s="123"/>
      <c r="W225" s="123"/>
      <c r="X225" s="123"/>
      <c r="Y225" s="123"/>
      <c r="Z225" s="123"/>
      <c r="AA225" s="123"/>
      <c r="AB225" s="123"/>
      <c r="AC225" s="123"/>
      <c r="AD225" s="121"/>
      <c r="AE225" s="121"/>
      <c r="AF225" s="121"/>
      <c r="AG225" s="121"/>
      <c r="AH225" s="121"/>
      <c r="AI225" s="140"/>
    </row>
    <row r="226" spans="2:35" s="22" customFormat="1" ht="15" hidden="1" thickBot="1">
      <c r="B226" s="23" t="s">
        <v>320</v>
      </c>
      <c r="C226" s="24" t="str">
        <f>BIN2HEX(D226&amp;E226&amp;F226&amp;G226)&amp;BIN2HEX(H226&amp;I226&amp;J226&amp;K226)&amp;BIN2HEX(L226&amp;M226&amp;N226&amp;O226)&amp;BIN2HEX(P226&amp;Q226&amp;R226&amp;S226)&amp;BIN2HEX(T226&amp;U226&amp;V226&amp;W226)&amp;BIN2HEX(X226&amp;Y226&amp;Z226&amp;AA226)&amp;BIN2HEX(AB226&amp;AC226&amp;AD226&amp;AE226)&amp;BIN2HEX(AF226&amp;AG226&amp;AH226&amp;AI226)</f>
        <v>A1390003</v>
      </c>
      <c r="D226" s="25">
        <v>1</v>
      </c>
      <c r="E226" s="25">
        <v>0</v>
      </c>
      <c r="F226" s="25">
        <v>1</v>
      </c>
      <c r="G226" s="25">
        <v>0</v>
      </c>
      <c r="H226" s="25">
        <v>0</v>
      </c>
      <c r="I226" s="25">
        <v>0</v>
      </c>
      <c r="J226" s="25">
        <v>0</v>
      </c>
      <c r="K226" s="25">
        <v>1</v>
      </c>
      <c r="L226" s="25">
        <v>0</v>
      </c>
      <c r="M226" s="25">
        <v>0</v>
      </c>
      <c r="N226" s="25">
        <v>1</v>
      </c>
      <c r="O226" s="25">
        <v>1</v>
      </c>
      <c r="P226" s="25">
        <v>1</v>
      </c>
      <c r="Q226" s="25">
        <v>0</v>
      </c>
      <c r="R226" s="25">
        <v>0</v>
      </c>
      <c r="S226" s="25">
        <v>1</v>
      </c>
      <c r="T226" s="25">
        <v>0</v>
      </c>
      <c r="U226" s="25">
        <v>0</v>
      </c>
      <c r="V226" s="25">
        <v>0</v>
      </c>
      <c r="W226" s="25">
        <v>0</v>
      </c>
      <c r="X226" s="25">
        <v>0</v>
      </c>
      <c r="Y226" s="25">
        <v>0</v>
      </c>
      <c r="Z226" s="25">
        <v>0</v>
      </c>
      <c r="AA226" s="25">
        <v>0</v>
      </c>
      <c r="AB226" s="25">
        <v>0</v>
      </c>
      <c r="AC226" s="25">
        <v>0</v>
      </c>
      <c r="AD226" s="25">
        <v>0</v>
      </c>
      <c r="AE226" s="25">
        <v>0</v>
      </c>
      <c r="AF226" s="25">
        <v>0</v>
      </c>
      <c r="AG226" s="25">
        <v>0</v>
      </c>
      <c r="AH226" s="25">
        <v>1</v>
      </c>
      <c r="AI226" s="26">
        <v>1</v>
      </c>
    </row>
    <row r="227" spans="2:35" ht="15" hidden="1" thickBot="1"/>
    <row r="228" spans="2:35" s="22" customFormat="1" ht="15.6" hidden="1">
      <c r="B228" s="31" t="s">
        <v>280</v>
      </c>
      <c r="C228" s="18" t="s">
        <v>6</v>
      </c>
      <c r="D228" s="19">
        <v>31</v>
      </c>
      <c r="E228" s="19">
        <v>30</v>
      </c>
      <c r="F228" s="19">
        <v>29</v>
      </c>
      <c r="G228" s="19">
        <v>28</v>
      </c>
      <c r="H228" s="19">
        <v>27</v>
      </c>
      <c r="I228" s="19">
        <v>26</v>
      </c>
      <c r="J228" s="19">
        <v>25</v>
      </c>
      <c r="K228" s="19">
        <v>24</v>
      </c>
      <c r="L228" s="19">
        <v>23</v>
      </c>
      <c r="M228" s="19">
        <v>22</v>
      </c>
      <c r="N228" s="19">
        <v>21</v>
      </c>
      <c r="O228" s="19">
        <v>20</v>
      </c>
      <c r="P228" s="19">
        <v>19</v>
      </c>
      <c r="Q228" s="19">
        <v>18</v>
      </c>
      <c r="R228" s="19">
        <v>17</v>
      </c>
      <c r="S228" s="19">
        <v>16</v>
      </c>
      <c r="T228" s="19">
        <v>15</v>
      </c>
      <c r="U228" s="19">
        <v>14</v>
      </c>
      <c r="V228" s="19">
        <v>13</v>
      </c>
      <c r="W228" s="19">
        <v>12</v>
      </c>
      <c r="X228" s="19">
        <v>11</v>
      </c>
      <c r="Y228" s="19">
        <v>10</v>
      </c>
      <c r="Z228" s="19">
        <v>9</v>
      </c>
      <c r="AA228" s="19">
        <v>8</v>
      </c>
      <c r="AB228" s="19">
        <v>7</v>
      </c>
      <c r="AC228" s="19">
        <v>6</v>
      </c>
      <c r="AD228" s="19">
        <v>5</v>
      </c>
      <c r="AE228" s="19">
        <v>4</v>
      </c>
      <c r="AF228" s="19">
        <v>3</v>
      </c>
      <c r="AG228" s="19">
        <v>2</v>
      </c>
      <c r="AH228" s="19">
        <v>1</v>
      </c>
      <c r="AI228" s="20">
        <v>0</v>
      </c>
    </row>
    <row r="229" spans="2:35" s="22" customFormat="1" ht="15.75" hidden="1" customHeight="1">
      <c r="B229" s="135" t="s">
        <v>322</v>
      </c>
      <c r="C229" s="124"/>
      <c r="D229" s="122"/>
      <c r="E229" s="122"/>
      <c r="F229" s="122"/>
      <c r="G229" s="122"/>
      <c r="H229" s="122"/>
      <c r="I229" s="120" t="s">
        <v>78</v>
      </c>
      <c r="J229" s="120"/>
      <c r="K229" s="137" t="s">
        <v>79</v>
      </c>
      <c r="L229" s="122"/>
      <c r="M229" s="120" t="s">
        <v>80</v>
      </c>
      <c r="N229" s="120"/>
      <c r="O229" s="120"/>
      <c r="P229" s="120"/>
      <c r="Q229" s="120"/>
      <c r="R229" s="120"/>
      <c r="S229" s="120"/>
      <c r="T229" s="122"/>
      <c r="U229" s="122"/>
      <c r="V229" s="122"/>
      <c r="W229" s="122"/>
      <c r="X229" s="122"/>
      <c r="Y229" s="120" t="s">
        <v>81</v>
      </c>
      <c r="Z229" s="120"/>
      <c r="AA229" s="137" t="s">
        <v>82</v>
      </c>
      <c r="AB229" s="122"/>
      <c r="AC229" s="120" t="s">
        <v>83</v>
      </c>
      <c r="AD229" s="120"/>
      <c r="AE229" s="120"/>
      <c r="AF229" s="120"/>
      <c r="AG229" s="120"/>
      <c r="AH229" s="120"/>
      <c r="AI229" s="120"/>
    </row>
    <row r="230" spans="2:35" s="22" customFormat="1" ht="15" hidden="1" customHeight="1">
      <c r="B230" s="136"/>
      <c r="C230" s="124"/>
      <c r="D230" s="123"/>
      <c r="E230" s="123"/>
      <c r="F230" s="123"/>
      <c r="G230" s="123"/>
      <c r="H230" s="123"/>
      <c r="I230" s="121"/>
      <c r="J230" s="121"/>
      <c r="K230" s="138"/>
      <c r="L230" s="123"/>
      <c r="M230" s="121"/>
      <c r="N230" s="121"/>
      <c r="O230" s="121"/>
      <c r="P230" s="121"/>
      <c r="Q230" s="121"/>
      <c r="R230" s="121"/>
      <c r="S230" s="121"/>
      <c r="T230" s="123"/>
      <c r="U230" s="123"/>
      <c r="V230" s="123"/>
      <c r="W230" s="123"/>
      <c r="X230" s="123"/>
      <c r="Y230" s="121"/>
      <c r="Z230" s="121"/>
      <c r="AA230" s="138"/>
      <c r="AB230" s="123"/>
      <c r="AC230" s="121"/>
      <c r="AD230" s="121"/>
      <c r="AE230" s="121"/>
      <c r="AF230" s="121"/>
      <c r="AG230" s="121"/>
      <c r="AH230" s="121"/>
      <c r="AI230" s="121"/>
    </row>
    <row r="231" spans="2:35" s="22" customFormat="1" ht="15" hidden="1" thickBot="1">
      <c r="B231" s="32" t="s">
        <v>77</v>
      </c>
      <c r="C231" s="33" t="str">
        <f>BIN2HEX(D231&amp;E231&amp;F231&amp;G231)&amp;BIN2HEX(H231&amp;I231&amp;J231&amp;K231)&amp;BIN2HEX(L231&amp;M231&amp;N231&amp;O231)&amp;BIN2HEX(P231&amp;Q231&amp;R231&amp;S231)&amp;BIN2HEX(T231&amp;U231&amp;V231&amp;W231)&amp;BIN2HEX(X231&amp;Y231&amp;Z231&amp;AA231)&amp;BIN2HEX(AB231&amp;AC231&amp;AD231&amp;AE231)&amp;BIN2HEX(AF231&amp;AG231&amp;AH231&amp;AI231)</f>
        <v>00000000</v>
      </c>
      <c r="D231" s="34">
        <v>0</v>
      </c>
      <c r="E231" s="34">
        <v>0</v>
      </c>
      <c r="F231" s="34">
        <v>0</v>
      </c>
      <c r="G231" s="34">
        <v>0</v>
      </c>
      <c r="H231" s="34">
        <v>0</v>
      </c>
      <c r="I231" s="34">
        <v>0</v>
      </c>
      <c r="J231" s="34">
        <v>0</v>
      </c>
      <c r="K231" s="34">
        <v>0</v>
      </c>
      <c r="L231" s="34">
        <v>0</v>
      </c>
      <c r="M231" s="34">
        <v>0</v>
      </c>
      <c r="N231" s="34">
        <v>0</v>
      </c>
      <c r="O231" s="34">
        <v>0</v>
      </c>
      <c r="P231" s="34">
        <v>0</v>
      </c>
      <c r="Q231" s="34">
        <v>0</v>
      </c>
      <c r="R231" s="34">
        <v>0</v>
      </c>
      <c r="S231" s="34">
        <v>0</v>
      </c>
      <c r="T231" s="34">
        <v>0</v>
      </c>
      <c r="U231" s="34">
        <v>0</v>
      </c>
      <c r="V231" s="34">
        <v>0</v>
      </c>
      <c r="W231" s="34">
        <v>0</v>
      </c>
      <c r="X231" s="34">
        <v>0</v>
      </c>
      <c r="Y231" s="34">
        <v>0</v>
      </c>
      <c r="Z231" s="34">
        <v>0</v>
      </c>
      <c r="AA231" s="34">
        <v>0</v>
      </c>
      <c r="AB231" s="34">
        <v>0</v>
      </c>
      <c r="AC231" s="34">
        <v>0</v>
      </c>
      <c r="AD231" s="34">
        <v>0</v>
      </c>
      <c r="AE231" s="34">
        <v>0</v>
      </c>
      <c r="AF231" s="34">
        <v>0</v>
      </c>
      <c r="AG231" s="34">
        <v>0</v>
      </c>
      <c r="AH231" s="34">
        <v>0</v>
      </c>
      <c r="AI231" s="35">
        <v>0</v>
      </c>
    </row>
    <row r="232" spans="2:35" s="22" customFormat="1" ht="15" hidden="1" thickBot="1">
      <c r="B232" s="32" t="s">
        <v>91</v>
      </c>
      <c r="C232" s="36" t="str">
        <f>BIN2HEX(D232&amp;E232&amp;F232&amp;G232)&amp;BIN2HEX(H232&amp;I232&amp;J232&amp;K232)&amp;BIN2HEX(L232&amp;M232&amp;N232&amp;O232)&amp;BIN2HEX(P232&amp;Q232&amp;R232&amp;S232)&amp;BIN2HEX(T232&amp;U232&amp;V232&amp;W232)&amp;BIN2HEX(X232&amp;Y232&amp;Z232&amp;AA232)&amp;BIN2HEX(AB232&amp;AC232&amp;AD232&amp;AE232)&amp;BIN2HEX(AF232&amp;AG232&amp;AH232&amp;AI232)</f>
        <v>00000000</v>
      </c>
      <c r="D232" s="37">
        <v>0</v>
      </c>
      <c r="E232" s="37">
        <v>0</v>
      </c>
      <c r="F232" s="37">
        <v>0</v>
      </c>
      <c r="G232" s="37">
        <v>0</v>
      </c>
      <c r="H232" s="37">
        <v>0</v>
      </c>
      <c r="I232" s="37">
        <v>0</v>
      </c>
      <c r="J232" s="37">
        <v>0</v>
      </c>
      <c r="K232" s="37">
        <v>0</v>
      </c>
      <c r="L232" s="37">
        <v>0</v>
      </c>
      <c r="M232" s="37">
        <v>0</v>
      </c>
      <c r="N232" s="37">
        <v>0</v>
      </c>
      <c r="O232" s="37">
        <v>0</v>
      </c>
      <c r="P232" s="37">
        <v>0</v>
      </c>
      <c r="Q232" s="37">
        <v>0</v>
      </c>
      <c r="R232" s="37">
        <v>0</v>
      </c>
      <c r="S232" s="37">
        <v>0</v>
      </c>
      <c r="T232" s="37">
        <v>0</v>
      </c>
      <c r="U232" s="37">
        <v>0</v>
      </c>
      <c r="V232" s="37">
        <v>0</v>
      </c>
      <c r="W232" s="37">
        <v>0</v>
      </c>
      <c r="X232" s="37">
        <v>0</v>
      </c>
      <c r="Y232" s="37">
        <v>0</v>
      </c>
      <c r="Z232" s="37">
        <v>0</v>
      </c>
      <c r="AA232" s="37">
        <v>0</v>
      </c>
      <c r="AB232" s="37">
        <v>0</v>
      </c>
      <c r="AC232" s="37">
        <v>0</v>
      </c>
      <c r="AD232" s="37">
        <v>0</v>
      </c>
      <c r="AE232" s="37">
        <v>0</v>
      </c>
      <c r="AF232" s="37">
        <v>0</v>
      </c>
      <c r="AG232" s="37">
        <v>0</v>
      </c>
      <c r="AH232" s="37">
        <v>0</v>
      </c>
      <c r="AI232" s="38">
        <v>0</v>
      </c>
    </row>
    <row r="233" spans="2:35" ht="15" hidden="1" thickBot="1"/>
    <row r="234" spans="2:35" s="22" customFormat="1" ht="15.6" hidden="1">
      <c r="B234" s="31" t="s">
        <v>280</v>
      </c>
      <c r="C234" s="18" t="s">
        <v>6</v>
      </c>
      <c r="D234" s="19">
        <v>31</v>
      </c>
      <c r="E234" s="19">
        <v>30</v>
      </c>
      <c r="F234" s="19">
        <v>29</v>
      </c>
      <c r="G234" s="19">
        <v>28</v>
      </c>
      <c r="H234" s="19">
        <v>27</v>
      </c>
      <c r="I234" s="19">
        <v>26</v>
      </c>
      <c r="J234" s="19">
        <v>25</v>
      </c>
      <c r="K234" s="19">
        <v>24</v>
      </c>
      <c r="L234" s="19">
        <v>23</v>
      </c>
      <c r="M234" s="19">
        <v>22</v>
      </c>
      <c r="N234" s="19">
        <v>21</v>
      </c>
      <c r="O234" s="19">
        <v>20</v>
      </c>
      <c r="P234" s="19">
        <v>19</v>
      </c>
      <c r="Q234" s="19">
        <v>18</v>
      </c>
      <c r="R234" s="19">
        <v>17</v>
      </c>
      <c r="S234" s="19">
        <v>16</v>
      </c>
      <c r="T234" s="19">
        <v>15</v>
      </c>
      <c r="U234" s="19">
        <v>14</v>
      </c>
      <c r="V234" s="19">
        <v>13</v>
      </c>
      <c r="W234" s="19">
        <v>12</v>
      </c>
      <c r="X234" s="19">
        <v>11</v>
      </c>
      <c r="Y234" s="19">
        <v>10</v>
      </c>
      <c r="Z234" s="19">
        <v>9</v>
      </c>
      <c r="AA234" s="19">
        <v>8</v>
      </c>
      <c r="AB234" s="19">
        <v>7</v>
      </c>
      <c r="AC234" s="19">
        <v>6</v>
      </c>
      <c r="AD234" s="19">
        <v>5</v>
      </c>
      <c r="AE234" s="19">
        <v>4</v>
      </c>
      <c r="AF234" s="19">
        <v>3</v>
      </c>
      <c r="AG234" s="19">
        <v>2</v>
      </c>
      <c r="AH234" s="19">
        <v>1</v>
      </c>
      <c r="AI234" s="20">
        <v>0</v>
      </c>
    </row>
    <row r="235" spans="2:35" s="22" customFormat="1" ht="15.75" hidden="1" customHeight="1">
      <c r="B235" s="135" t="s">
        <v>323</v>
      </c>
      <c r="C235" s="124"/>
      <c r="D235" s="122"/>
      <c r="E235" s="122"/>
      <c r="F235" s="122"/>
      <c r="G235" s="122"/>
      <c r="H235" s="122"/>
      <c r="I235" s="120" t="s">
        <v>85</v>
      </c>
      <c r="J235" s="120"/>
      <c r="K235" s="137" t="s">
        <v>86</v>
      </c>
      <c r="L235" s="122"/>
      <c r="M235" s="120" t="s">
        <v>87</v>
      </c>
      <c r="N235" s="120"/>
      <c r="O235" s="120"/>
      <c r="P235" s="120"/>
      <c r="Q235" s="120"/>
      <c r="R235" s="120"/>
      <c r="S235" s="120"/>
      <c r="T235" s="122"/>
      <c r="U235" s="122"/>
      <c r="V235" s="122"/>
      <c r="W235" s="122"/>
      <c r="X235" s="122"/>
      <c r="Y235" s="120" t="s">
        <v>88</v>
      </c>
      <c r="Z235" s="120"/>
      <c r="AA235" s="137" t="s">
        <v>89</v>
      </c>
      <c r="AB235" s="122"/>
      <c r="AC235" s="120" t="s">
        <v>90</v>
      </c>
      <c r="AD235" s="120"/>
      <c r="AE235" s="120"/>
      <c r="AF235" s="120"/>
      <c r="AG235" s="120"/>
      <c r="AH235" s="120"/>
      <c r="AI235" s="120"/>
    </row>
    <row r="236" spans="2:35" s="22" customFormat="1" ht="15" hidden="1" customHeight="1">
      <c r="B236" s="136"/>
      <c r="C236" s="124"/>
      <c r="D236" s="123"/>
      <c r="E236" s="123"/>
      <c r="F236" s="123"/>
      <c r="G236" s="123"/>
      <c r="H236" s="123"/>
      <c r="I236" s="121"/>
      <c r="J236" s="121"/>
      <c r="K236" s="138"/>
      <c r="L236" s="123"/>
      <c r="M236" s="121"/>
      <c r="N236" s="121"/>
      <c r="O236" s="121"/>
      <c r="P236" s="121"/>
      <c r="Q236" s="121"/>
      <c r="R236" s="121"/>
      <c r="S236" s="121"/>
      <c r="T236" s="123"/>
      <c r="U236" s="123"/>
      <c r="V236" s="123"/>
      <c r="W236" s="123"/>
      <c r="X236" s="123"/>
      <c r="Y236" s="121"/>
      <c r="Z236" s="121"/>
      <c r="AA236" s="138"/>
      <c r="AB236" s="123"/>
      <c r="AC236" s="121"/>
      <c r="AD236" s="121"/>
      <c r="AE236" s="121"/>
      <c r="AF236" s="121"/>
      <c r="AG236" s="121"/>
      <c r="AH236" s="121"/>
      <c r="AI236" s="121"/>
    </row>
    <row r="237" spans="2:35" s="22" customFormat="1" ht="15" hidden="1" thickBot="1">
      <c r="B237" s="32" t="s">
        <v>84</v>
      </c>
      <c r="C237" s="33" t="str">
        <f>BIN2HEX(D237&amp;E237&amp;F237&amp;G237)&amp;BIN2HEX(H237&amp;I237&amp;J237&amp;K237)&amp;BIN2HEX(L237&amp;M237&amp;N237&amp;O237)&amp;BIN2HEX(P237&amp;Q237&amp;R237&amp;S237)&amp;BIN2HEX(T237&amp;U237&amp;V237&amp;W237)&amp;BIN2HEX(X237&amp;Y237&amp;Z237&amp;AA237)&amp;BIN2HEX(AB237&amp;AC237&amp;AD237&amp;AE237)&amp;BIN2HEX(AF237&amp;AG237&amp;AH237&amp;AI237)</f>
        <v>00000000</v>
      </c>
      <c r="D237" s="34">
        <v>0</v>
      </c>
      <c r="E237" s="34">
        <v>0</v>
      </c>
      <c r="F237" s="34">
        <v>0</v>
      </c>
      <c r="G237" s="34">
        <v>0</v>
      </c>
      <c r="H237" s="34">
        <v>0</v>
      </c>
      <c r="I237" s="34">
        <v>0</v>
      </c>
      <c r="J237" s="34">
        <v>0</v>
      </c>
      <c r="K237" s="34">
        <v>0</v>
      </c>
      <c r="L237" s="34">
        <v>0</v>
      </c>
      <c r="M237" s="34">
        <v>0</v>
      </c>
      <c r="N237" s="34">
        <v>0</v>
      </c>
      <c r="O237" s="34">
        <v>0</v>
      </c>
      <c r="P237" s="34">
        <v>0</v>
      </c>
      <c r="Q237" s="34">
        <v>0</v>
      </c>
      <c r="R237" s="34">
        <v>0</v>
      </c>
      <c r="S237" s="34">
        <v>0</v>
      </c>
      <c r="T237" s="34">
        <v>0</v>
      </c>
      <c r="U237" s="34">
        <v>0</v>
      </c>
      <c r="V237" s="34">
        <v>0</v>
      </c>
      <c r="W237" s="34">
        <v>0</v>
      </c>
      <c r="X237" s="34">
        <v>0</v>
      </c>
      <c r="Y237" s="34">
        <v>0</v>
      </c>
      <c r="Z237" s="34">
        <v>0</v>
      </c>
      <c r="AA237" s="34">
        <v>0</v>
      </c>
      <c r="AB237" s="34">
        <v>0</v>
      </c>
      <c r="AC237" s="34">
        <v>0</v>
      </c>
      <c r="AD237" s="34">
        <v>0</v>
      </c>
      <c r="AE237" s="34">
        <v>0</v>
      </c>
      <c r="AF237" s="34">
        <v>0</v>
      </c>
      <c r="AG237" s="34">
        <v>0</v>
      </c>
      <c r="AH237" s="34">
        <v>0</v>
      </c>
      <c r="AI237" s="35">
        <v>0</v>
      </c>
    </row>
    <row r="238" spans="2:35" s="22" customFormat="1" ht="15" hidden="1" thickBot="1">
      <c r="B238" s="32" t="s">
        <v>324</v>
      </c>
      <c r="C238" s="39" t="str">
        <f>BIN2HEX(D238&amp;E238&amp;F238&amp;G238)&amp;BIN2HEX(H238&amp;I238&amp;J238&amp;K238)&amp;BIN2HEX(L238&amp;M238&amp;N238&amp;O238)&amp;BIN2HEX(P238&amp;Q238&amp;R238&amp;S238)&amp;BIN2HEX(T238&amp;U238&amp;V238&amp;W238)&amp;BIN2HEX(X238&amp;Y238&amp;Z238&amp;AA238)&amp;BIN2HEX(AB238&amp;AC238&amp;AD238&amp;AE238)&amp;BIN2HEX(AF238&amp;AG238&amp;AH238&amp;AI238)</f>
        <v>00000000</v>
      </c>
      <c r="D238" s="37">
        <v>0</v>
      </c>
      <c r="E238" s="37">
        <v>0</v>
      </c>
      <c r="F238" s="37">
        <v>0</v>
      </c>
      <c r="G238" s="37">
        <v>0</v>
      </c>
      <c r="H238" s="37">
        <v>0</v>
      </c>
      <c r="I238" s="37">
        <v>0</v>
      </c>
      <c r="J238" s="37">
        <v>0</v>
      </c>
      <c r="K238" s="37">
        <v>0</v>
      </c>
      <c r="L238" s="37">
        <v>0</v>
      </c>
      <c r="M238" s="37">
        <v>0</v>
      </c>
      <c r="N238" s="37">
        <v>0</v>
      </c>
      <c r="O238" s="37">
        <v>0</v>
      </c>
      <c r="P238" s="37">
        <v>0</v>
      </c>
      <c r="Q238" s="37">
        <v>0</v>
      </c>
      <c r="R238" s="37">
        <v>0</v>
      </c>
      <c r="S238" s="37">
        <v>0</v>
      </c>
      <c r="T238" s="37">
        <v>0</v>
      </c>
      <c r="U238" s="37">
        <v>0</v>
      </c>
      <c r="V238" s="37">
        <v>0</v>
      </c>
      <c r="W238" s="37">
        <v>0</v>
      </c>
      <c r="X238" s="37">
        <v>0</v>
      </c>
      <c r="Y238" s="37">
        <v>0</v>
      </c>
      <c r="Z238" s="37">
        <v>0</v>
      </c>
      <c r="AA238" s="37">
        <v>0</v>
      </c>
      <c r="AB238" s="37">
        <v>0</v>
      </c>
      <c r="AC238" s="37">
        <v>0</v>
      </c>
      <c r="AD238" s="37">
        <v>0</v>
      </c>
      <c r="AE238" s="37">
        <v>0</v>
      </c>
      <c r="AF238" s="37">
        <v>0</v>
      </c>
      <c r="AG238" s="37">
        <v>0</v>
      </c>
      <c r="AH238" s="37">
        <v>0</v>
      </c>
      <c r="AI238" s="38">
        <v>0</v>
      </c>
    </row>
    <row r="239" spans="2:35" ht="15" hidden="1" thickBot="1"/>
    <row r="240" spans="2:35" s="22" customFormat="1" ht="15.6" hidden="1">
      <c r="B240" s="31" t="s">
        <v>280</v>
      </c>
      <c r="C240" s="18" t="s">
        <v>6</v>
      </c>
      <c r="D240" s="19">
        <v>31</v>
      </c>
      <c r="E240" s="19">
        <v>30</v>
      </c>
      <c r="F240" s="19">
        <v>29</v>
      </c>
      <c r="G240" s="19">
        <v>28</v>
      </c>
      <c r="H240" s="19">
        <v>27</v>
      </c>
      <c r="I240" s="19">
        <v>26</v>
      </c>
      <c r="J240" s="19">
        <v>25</v>
      </c>
      <c r="K240" s="19">
        <v>24</v>
      </c>
      <c r="L240" s="19">
        <v>23</v>
      </c>
      <c r="M240" s="19">
        <v>22</v>
      </c>
      <c r="N240" s="19">
        <v>21</v>
      </c>
      <c r="O240" s="19">
        <v>20</v>
      </c>
      <c r="P240" s="19">
        <v>19</v>
      </c>
      <c r="Q240" s="19">
        <v>18</v>
      </c>
      <c r="R240" s="19">
        <v>17</v>
      </c>
      <c r="S240" s="19">
        <v>16</v>
      </c>
      <c r="T240" s="19">
        <v>15</v>
      </c>
      <c r="U240" s="19">
        <v>14</v>
      </c>
      <c r="V240" s="19">
        <v>13</v>
      </c>
      <c r="W240" s="19">
        <v>12</v>
      </c>
      <c r="X240" s="19">
        <v>11</v>
      </c>
      <c r="Y240" s="19">
        <v>10</v>
      </c>
      <c r="Z240" s="19">
        <v>9</v>
      </c>
      <c r="AA240" s="19">
        <v>8</v>
      </c>
      <c r="AB240" s="19">
        <v>7</v>
      </c>
      <c r="AC240" s="19">
        <v>6</v>
      </c>
      <c r="AD240" s="19">
        <v>5</v>
      </c>
      <c r="AE240" s="19">
        <v>4</v>
      </c>
      <c r="AF240" s="19">
        <v>3</v>
      </c>
      <c r="AG240" s="19">
        <v>2</v>
      </c>
      <c r="AH240" s="19">
        <v>1</v>
      </c>
      <c r="AI240" s="20">
        <v>0</v>
      </c>
    </row>
    <row r="241" spans="2:35" s="22" customFormat="1" ht="15.75" hidden="1" customHeight="1">
      <c r="B241" s="135" t="s">
        <v>325</v>
      </c>
      <c r="C241" s="124"/>
      <c r="D241" s="120" t="s">
        <v>93</v>
      </c>
      <c r="E241" s="120" t="s">
        <v>94</v>
      </c>
      <c r="F241" s="120" t="s">
        <v>95</v>
      </c>
      <c r="G241" s="120" t="s">
        <v>97</v>
      </c>
      <c r="H241" s="120" t="s">
        <v>96</v>
      </c>
      <c r="I241" s="120"/>
      <c r="J241" s="120"/>
      <c r="K241" s="120"/>
      <c r="L241" s="120" t="s">
        <v>98</v>
      </c>
      <c r="M241" s="120" t="s">
        <v>99</v>
      </c>
      <c r="N241" s="120"/>
      <c r="O241" s="120"/>
      <c r="P241" s="120"/>
      <c r="Q241" s="120"/>
      <c r="R241" s="120"/>
      <c r="S241" s="120"/>
      <c r="T241" s="122"/>
      <c r="U241" s="122"/>
      <c r="V241" s="122"/>
      <c r="W241" s="122"/>
      <c r="X241" s="120" t="s">
        <v>100</v>
      </c>
      <c r="Y241" s="120"/>
      <c r="Z241" s="120"/>
      <c r="AA241" s="120"/>
      <c r="AB241" s="122"/>
      <c r="AC241" s="120" t="s">
        <v>101</v>
      </c>
      <c r="AD241" s="120"/>
      <c r="AE241" s="120"/>
      <c r="AF241" s="120"/>
      <c r="AG241" s="120"/>
      <c r="AH241" s="120"/>
      <c r="AI241" s="120"/>
    </row>
    <row r="242" spans="2:35" s="22" customFormat="1" ht="15" hidden="1" customHeight="1">
      <c r="B242" s="136"/>
      <c r="C242" s="124"/>
      <c r="D242" s="121"/>
      <c r="E242" s="121"/>
      <c r="F242" s="121"/>
      <c r="G242" s="121"/>
      <c r="H242" s="121"/>
      <c r="I242" s="121"/>
      <c r="J242" s="121"/>
      <c r="K242" s="121"/>
      <c r="L242" s="121"/>
      <c r="M242" s="121"/>
      <c r="N242" s="121"/>
      <c r="O242" s="121"/>
      <c r="P242" s="121"/>
      <c r="Q242" s="121"/>
      <c r="R242" s="121"/>
      <c r="S242" s="121"/>
      <c r="T242" s="123"/>
      <c r="U242" s="123"/>
      <c r="V242" s="123"/>
      <c r="W242" s="123"/>
      <c r="X242" s="121"/>
      <c r="Y242" s="121"/>
      <c r="Z242" s="121"/>
      <c r="AA242" s="121"/>
      <c r="AB242" s="123"/>
      <c r="AC242" s="121"/>
      <c r="AD242" s="121"/>
      <c r="AE242" s="121"/>
      <c r="AF242" s="121"/>
      <c r="AG242" s="121"/>
      <c r="AH242" s="121"/>
      <c r="AI242" s="121"/>
    </row>
    <row r="243" spans="2:35" s="22" customFormat="1" ht="15" hidden="1" thickBot="1">
      <c r="B243" s="32" t="s">
        <v>92</v>
      </c>
      <c r="C243" s="40" t="str">
        <f>BIN2HEX(D243&amp;E243&amp;F243&amp;G243)&amp;BIN2HEX(H243&amp;I243&amp;J243&amp;K243)&amp;BIN2HEX(L243&amp;M243&amp;N243&amp;O243)&amp;BIN2HEX(P243&amp;Q243&amp;R243&amp;S243)&amp;BIN2HEX(T243&amp;U243&amp;V243&amp;W243)&amp;BIN2HEX(X243&amp;Y243&amp;Z243&amp;AA243)&amp;BIN2HEX(AB243&amp;AC243&amp;AD243&amp;AE243)&amp;BIN2HEX(AF243&amp;AG243&amp;AH243&amp;AI243)</f>
        <v>00000000</v>
      </c>
      <c r="D243" s="25">
        <v>0</v>
      </c>
      <c r="E243" s="25">
        <v>0</v>
      </c>
      <c r="F243" s="25">
        <v>0</v>
      </c>
      <c r="G243" s="25">
        <v>0</v>
      </c>
      <c r="H243" s="25">
        <v>0</v>
      </c>
      <c r="I243" s="25">
        <v>0</v>
      </c>
      <c r="J243" s="25">
        <v>0</v>
      </c>
      <c r="K243" s="25">
        <v>0</v>
      </c>
      <c r="L243" s="25">
        <v>0</v>
      </c>
      <c r="M243" s="25">
        <v>0</v>
      </c>
      <c r="N243" s="25">
        <v>0</v>
      </c>
      <c r="O243" s="25">
        <v>0</v>
      </c>
      <c r="P243" s="25">
        <v>0</v>
      </c>
      <c r="Q243" s="25">
        <v>0</v>
      </c>
      <c r="R243" s="25">
        <v>0</v>
      </c>
      <c r="S243" s="25">
        <v>0</v>
      </c>
      <c r="T243" s="25">
        <v>0</v>
      </c>
      <c r="U243" s="25">
        <v>0</v>
      </c>
      <c r="V243" s="25">
        <v>0</v>
      </c>
      <c r="W243" s="25">
        <v>0</v>
      </c>
      <c r="X243" s="25">
        <v>0</v>
      </c>
      <c r="Y243" s="25">
        <v>0</v>
      </c>
      <c r="Z243" s="25">
        <v>0</v>
      </c>
      <c r="AA243" s="25">
        <v>0</v>
      </c>
      <c r="AB243" s="25">
        <v>0</v>
      </c>
      <c r="AC243" s="25">
        <v>0</v>
      </c>
      <c r="AD243" s="25">
        <v>0</v>
      </c>
      <c r="AE243" s="25">
        <v>0</v>
      </c>
      <c r="AF243" s="25">
        <v>0</v>
      </c>
      <c r="AG243" s="34">
        <v>0</v>
      </c>
      <c r="AH243" s="34">
        <v>0</v>
      </c>
      <c r="AI243" s="26">
        <v>0</v>
      </c>
    </row>
    <row r="244" spans="2:35" s="22" customFormat="1" ht="15" hidden="1" thickBot="1">
      <c r="B244" s="32" t="s">
        <v>107</v>
      </c>
      <c r="C244" s="40" t="str">
        <f>BIN2HEX(D244&amp;E244&amp;F244&amp;G244)&amp;BIN2HEX(H244&amp;I244&amp;J244&amp;K244)&amp;BIN2HEX(L244&amp;M244&amp;N244&amp;O244)&amp;BIN2HEX(P244&amp;Q244&amp;R244&amp;S244)&amp;BIN2HEX(T244&amp;U244&amp;V244&amp;W244)&amp;BIN2HEX(X244&amp;Y244&amp;Z244&amp;AA244)&amp;BIN2HEX(AB244&amp;AC244&amp;AD244&amp;AE244)&amp;BIN2HEX(AF244&amp;AG244&amp;AH244&amp;AI244)</f>
        <v>00000000</v>
      </c>
      <c r="D244" s="25">
        <v>0</v>
      </c>
      <c r="E244" s="25">
        <v>0</v>
      </c>
      <c r="F244" s="25">
        <v>0</v>
      </c>
      <c r="G244" s="25">
        <v>0</v>
      </c>
      <c r="H244" s="25">
        <v>0</v>
      </c>
      <c r="I244" s="25">
        <v>0</v>
      </c>
      <c r="J244" s="25">
        <v>0</v>
      </c>
      <c r="K244" s="25">
        <v>0</v>
      </c>
      <c r="L244" s="25">
        <v>0</v>
      </c>
      <c r="M244" s="25">
        <v>0</v>
      </c>
      <c r="N244" s="25">
        <v>0</v>
      </c>
      <c r="O244" s="25">
        <v>0</v>
      </c>
      <c r="P244" s="25">
        <v>0</v>
      </c>
      <c r="Q244" s="25">
        <v>0</v>
      </c>
      <c r="R244" s="25">
        <v>0</v>
      </c>
      <c r="S244" s="25">
        <v>0</v>
      </c>
      <c r="T244" s="25">
        <v>0</v>
      </c>
      <c r="U244" s="25">
        <v>0</v>
      </c>
      <c r="V244" s="25">
        <v>0</v>
      </c>
      <c r="W244" s="25">
        <v>0</v>
      </c>
      <c r="X244" s="25">
        <v>0</v>
      </c>
      <c r="Y244" s="25">
        <v>0</v>
      </c>
      <c r="Z244" s="25">
        <v>0</v>
      </c>
      <c r="AA244" s="25">
        <v>0</v>
      </c>
      <c r="AB244" s="25">
        <v>0</v>
      </c>
      <c r="AC244" s="25">
        <v>0</v>
      </c>
      <c r="AD244" s="25">
        <v>0</v>
      </c>
      <c r="AE244" s="25">
        <v>0</v>
      </c>
      <c r="AF244" s="25">
        <v>0</v>
      </c>
      <c r="AG244" s="37">
        <v>0</v>
      </c>
      <c r="AH244" s="37">
        <v>0</v>
      </c>
      <c r="AI244" s="26">
        <v>0</v>
      </c>
    </row>
    <row r="245" spans="2:35" ht="15" hidden="1" thickBot="1"/>
    <row r="246" spans="2:35" s="22" customFormat="1" ht="15.6" hidden="1">
      <c r="B246" s="31" t="s">
        <v>280</v>
      </c>
      <c r="C246" s="18" t="s">
        <v>6</v>
      </c>
      <c r="D246" s="19">
        <v>31</v>
      </c>
      <c r="E246" s="19">
        <v>30</v>
      </c>
      <c r="F246" s="19">
        <v>29</v>
      </c>
      <c r="G246" s="19">
        <v>28</v>
      </c>
      <c r="H246" s="19">
        <v>27</v>
      </c>
      <c r="I246" s="19">
        <v>26</v>
      </c>
      <c r="J246" s="19">
        <v>25</v>
      </c>
      <c r="K246" s="19">
        <v>24</v>
      </c>
      <c r="L246" s="19">
        <v>23</v>
      </c>
      <c r="M246" s="19">
        <v>22</v>
      </c>
      <c r="N246" s="19">
        <v>21</v>
      </c>
      <c r="O246" s="19">
        <v>20</v>
      </c>
      <c r="P246" s="19">
        <v>19</v>
      </c>
      <c r="Q246" s="19">
        <v>18</v>
      </c>
      <c r="R246" s="19">
        <v>17</v>
      </c>
      <c r="S246" s="19">
        <v>16</v>
      </c>
      <c r="T246" s="19">
        <v>15</v>
      </c>
      <c r="U246" s="19">
        <v>14</v>
      </c>
      <c r="V246" s="19">
        <v>13</v>
      </c>
      <c r="W246" s="19">
        <v>12</v>
      </c>
      <c r="X246" s="19">
        <v>11</v>
      </c>
      <c r="Y246" s="19">
        <v>10</v>
      </c>
      <c r="Z246" s="19">
        <v>9</v>
      </c>
      <c r="AA246" s="19">
        <v>8</v>
      </c>
      <c r="AB246" s="19">
        <v>7</v>
      </c>
      <c r="AC246" s="19">
        <v>6</v>
      </c>
      <c r="AD246" s="19">
        <v>5</v>
      </c>
      <c r="AE246" s="19">
        <v>4</v>
      </c>
      <c r="AF246" s="19">
        <v>3</v>
      </c>
      <c r="AG246" s="19">
        <v>2</v>
      </c>
      <c r="AH246" s="19">
        <v>1</v>
      </c>
      <c r="AI246" s="20">
        <v>0</v>
      </c>
    </row>
    <row r="247" spans="2:35" s="22" customFormat="1" ht="15.75" hidden="1" customHeight="1">
      <c r="B247" s="135" t="s">
        <v>326</v>
      </c>
      <c r="C247" s="124"/>
      <c r="D247" s="113"/>
      <c r="E247" s="114"/>
      <c r="F247" s="114"/>
      <c r="G247" s="115"/>
      <c r="H247" s="120" t="s">
        <v>103</v>
      </c>
      <c r="I247" s="120"/>
      <c r="J247" s="120"/>
      <c r="K247" s="120"/>
      <c r="L247" s="122"/>
      <c r="M247" s="120" t="s">
        <v>104</v>
      </c>
      <c r="N247" s="120"/>
      <c r="O247" s="120"/>
      <c r="P247" s="120"/>
      <c r="Q247" s="120"/>
      <c r="R247" s="120"/>
      <c r="S247" s="120"/>
      <c r="T247" s="122"/>
      <c r="U247" s="122"/>
      <c r="V247" s="122"/>
      <c r="W247" s="122"/>
      <c r="X247" s="120" t="s">
        <v>105</v>
      </c>
      <c r="Y247" s="120"/>
      <c r="Z247" s="120"/>
      <c r="AA247" s="120"/>
      <c r="AB247" s="122"/>
      <c r="AC247" s="120" t="s">
        <v>106</v>
      </c>
      <c r="AD247" s="120"/>
      <c r="AE247" s="120"/>
      <c r="AF247" s="120"/>
      <c r="AG247" s="120"/>
      <c r="AH247" s="120"/>
      <c r="AI247" s="120"/>
    </row>
    <row r="248" spans="2:35" s="22" customFormat="1" ht="15" hidden="1" customHeight="1">
      <c r="B248" s="136"/>
      <c r="C248" s="124"/>
      <c r="D248" s="116"/>
      <c r="E248" s="117"/>
      <c r="F248" s="117"/>
      <c r="G248" s="118"/>
      <c r="H248" s="121"/>
      <c r="I248" s="121"/>
      <c r="J248" s="121"/>
      <c r="K248" s="121"/>
      <c r="L248" s="141"/>
      <c r="M248" s="121"/>
      <c r="N248" s="121"/>
      <c r="O248" s="121"/>
      <c r="P248" s="121"/>
      <c r="Q248" s="121"/>
      <c r="R248" s="121"/>
      <c r="S248" s="121"/>
      <c r="T248" s="123"/>
      <c r="U248" s="123"/>
      <c r="V248" s="123"/>
      <c r="W248" s="123"/>
      <c r="X248" s="121"/>
      <c r="Y248" s="121"/>
      <c r="Z248" s="121"/>
      <c r="AA248" s="121"/>
      <c r="AB248" s="123"/>
      <c r="AC248" s="121"/>
      <c r="AD248" s="121"/>
      <c r="AE248" s="121"/>
      <c r="AF248" s="121"/>
      <c r="AG248" s="121"/>
      <c r="AH248" s="121"/>
      <c r="AI248" s="121"/>
    </row>
    <row r="249" spans="2:35" s="22" customFormat="1" ht="15" hidden="1" thickBot="1">
      <c r="B249" s="32" t="s">
        <v>102</v>
      </c>
      <c r="C249" s="40" t="str">
        <f>BIN2HEX(D249&amp;E249&amp;F249&amp;G249)&amp;BIN2HEX(H249&amp;I249&amp;J249&amp;K249)&amp;BIN2HEX(L249&amp;M249&amp;N249&amp;O249)&amp;BIN2HEX(P249&amp;Q249&amp;R249&amp;S249)&amp;BIN2HEX(T249&amp;U249&amp;V249&amp;W249)&amp;BIN2HEX(X249&amp;Y249&amp;Z249&amp;AA249)&amp;BIN2HEX(AB249&amp;AC249&amp;AD249&amp;AE249)&amp;BIN2HEX(AF249&amp;AG249&amp;AH249&amp;AI249)</f>
        <v>00000000</v>
      </c>
      <c r="D249" s="25">
        <v>0</v>
      </c>
      <c r="E249" s="25">
        <v>0</v>
      </c>
      <c r="F249" s="25">
        <v>0</v>
      </c>
      <c r="G249" s="25">
        <v>0</v>
      </c>
      <c r="H249" s="25">
        <v>0</v>
      </c>
      <c r="I249" s="25">
        <v>0</v>
      </c>
      <c r="J249" s="25">
        <v>0</v>
      </c>
      <c r="K249" s="25">
        <v>0</v>
      </c>
      <c r="L249" s="25">
        <v>0</v>
      </c>
      <c r="M249" s="25">
        <v>0</v>
      </c>
      <c r="N249" s="25">
        <v>0</v>
      </c>
      <c r="O249" s="25">
        <v>0</v>
      </c>
      <c r="P249" s="25">
        <v>0</v>
      </c>
      <c r="Q249" s="25">
        <v>0</v>
      </c>
      <c r="R249" s="25">
        <v>0</v>
      </c>
      <c r="S249" s="25">
        <v>0</v>
      </c>
      <c r="T249" s="25">
        <v>0</v>
      </c>
      <c r="U249" s="25">
        <v>0</v>
      </c>
      <c r="V249" s="25">
        <v>0</v>
      </c>
      <c r="W249" s="25">
        <v>0</v>
      </c>
      <c r="X249" s="25">
        <v>0</v>
      </c>
      <c r="Y249" s="25">
        <v>0</v>
      </c>
      <c r="Z249" s="25">
        <v>0</v>
      </c>
      <c r="AA249" s="25">
        <v>0</v>
      </c>
      <c r="AB249" s="25">
        <v>0</v>
      </c>
      <c r="AC249" s="25">
        <v>0</v>
      </c>
      <c r="AD249" s="25">
        <v>0</v>
      </c>
      <c r="AE249" s="25">
        <v>0</v>
      </c>
      <c r="AF249" s="25">
        <v>0</v>
      </c>
      <c r="AG249" s="34">
        <v>0</v>
      </c>
      <c r="AH249" s="34">
        <v>0</v>
      </c>
      <c r="AI249" s="26">
        <v>0</v>
      </c>
    </row>
    <row r="250" spans="2:35" s="22" customFormat="1" ht="15" hidden="1" thickBot="1">
      <c r="B250" s="32" t="s">
        <v>108</v>
      </c>
      <c r="C250" s="40" t="str">
        <f>BIN2HEX(D250&amp;E250&amp;F250&amp;G250)&amp;BIN2HEX(H250&amp;I250&amp;J250&amp;K250)&amp;BIN2HEX(L250&amp;M250&amp;N250&amp;O250)&amp;BIN2HEX(P250&amp;Q250&amp;R250&amp;S250)&amp;BIN2HEX(T250&amp;U250&amp;V250&amp;W250)&amp;BIN2HEX(X250&amp;Y250&amp;Z250&amp;AA250)&amp;BIN2HEX(AB250&amp;AC250&amp;AD250&amp;AE250)&amp;BIN2HEX(AF250&amp;AG250&amp;AH250&amp;AI250)</f>
        <v>00000000</v>
      </c>
      <c r="D250" s="25">
        <v>0</v>
      </c>
      <c r="E250" s="25">
        <v>0</v>
      </c>
      <c r="F250" s="25">
        <v>0</v>
      </c>
      <c r="G250" s="25">
        <v>0</v>
      </c>
      <c r="H250" s="25">
        <v>0</v>
      </c>
      <c r="I250" s="25">
        <v>0</v>
      </c>
      <c r="J250" s="25">
        <v>0</v>
      </c>
      <c r="K250" s="25">
        <v>0</v>
      </c>
      <c r="L250" s="25">
        <v>0</v>
      </c>
      <c r="M250" s="25">
        <v>0</v>
      </c>
      <c r="N250" s="25">
        <v>0</v>
      </c>
      <c r="O250" s="25">
        <v>0</v>
      </c>
      <c r="P250" s="25">
        <v>0</v>
      </c>
      <c r="Q250" s="25">
        <v>0</v>
      </c>
      <c r="R250" s="25">
        <v>0</v>
      </c>
      <c r="S250" s="25">
        <v>0</v>
      </c>
      <c r="T250" s="25">
        <v>0</v>
      </c>
      <c r="U250" s="25">
        <v>0</v>
      </c>
      <c r="V250" s="25">
        <v>0</v>
      </c>
      <c r="W250" s="25">
        <v>0</v>
      </c>
      <c r="X250" s="25">
        <v>0</v>
      </c>
      <c r="Y250" s="25">
        <v>0</v>
      </c>
      <c r="Z250" s="25">
        <v>0</v>
      </c>
      <c r="AA250" s="25">
        <v>0</v>
      </c>
      <c r="AB250" s="25">
        <v>0</v>
      </c>
      <c r="AC250" s="25">
        <v>0</v>
      </c>
      <c r="AD250" s="25">
        <v>0</v>
      </c>
      <c r="AE250" s="25">
        <v>0</v>
      </c>
      <c r="AF250" s="25">
        <v>0</v>
      </c>
      <c r="AG250" s="37">
        <v>0</v>
      </c>
      <c r="AH250" s="37">
        <v>0</v>
      </c>
      <c r="AI250" s="26">
        <v>0</v>
      </c>
    </row>
    <row r="251" spans="2:35" ht="15" hidden="1" thickBot="1"/>
    <row r="252" spans="2:35" s="22" customFormat="1" ht="15.6" hidden="1">
      <c r="B252" s="31" t="s">
        <v>280</v>
      </c>
      <c r="C252" s="18" t="s">
        <v>6</v>
      </c>
      <c r="D252" s="19">
        <v>31</v>
      </c>
      <c r="E252" s="19">
        <v>30</v>
      </c>
      <c r="F252" s="19">
        <v>29</v>
      </c>
      <c r="G252" s="19">
        <v>28</v>
      </c>
      <c r="H252" s="19">
        <v>27</v>
      </c>
      <c r="I252" s="19">
        <v>26</v>
      </c>
      <c r="J252" s="19">
        <v>25</v>
      </c>
      <c r="K252" s="19">
        <v>24</v>
      </c>
      <c r="L252" s="19">
        <v>23</v>
      </c>
      <c r="M252" s="19">
        <v>22</v>
      </c>
      <c r="N252" s="19">
        <v>21</v>
      </c>
      <c r="O252" s="19">
        <v>20</v>
      </c>
      <c r="P252" s="19">
        <v>19</v>
      </c>
      <c r="Q252" s="19">
        <v>18</v>
      </c>
      <c r="R252" s="19">
        <v>17</v>
      </c>
      <c r="S252" s="19">
        <v>16</v>
      </c>
      <c r="T252" s="19">
        <v>15</v>
      </c>
      <c r="U252" s="19">
        <v>14</v>
      </c>
      <c r="V252" s="19">
        <v>13</v>
      </c>
      <c r="W252" s="19">
        <v>12</v>
      </c>
      <c r="X252" s="19">
        <v>11</v>
      </c>
      <c r="Y252" s="19">
        <v>10</v>
      </c>
      <c r="Z252" s="19">
        <v>9</v>
      </c>
      <c r="AA252" s="19">
        <v>8</v>
      </c>
      <c r="AB252" s="19">
        <v>7</v>
      </c>
      <c r="AC252" s="19">
        <v>6</v>
      </c>
      <c r="AD252" s="19">
        <v>5</v>
      </c>
      <c r="AE252" s="19">
        <v>4</v>
      </c>
      <c r="AF252" s="19">
        <v>3</v>
      </c>
      <c r="AG252" s="19">
        <v>2</v>
      </c>
      <c r="AH252" s="19">
        <v>1</v>
      </c>
      <c r="AI252" s="20">
        <v>0</v>
      </c>
    </row>
    <row r="253" spans="2:35" s="22" customFormat="1" ht="15.75" hidden="1" customHeight="1">
      <c r="B253" s="135" t="s">
        <v>327</v>
      </c>
      <c r="C253" s="124"/>
      <c r="D253" s="122"/>
      <c r="E253" s="120" t="s">
        <v>110</v>
      </c>
      <c r="F253" s="120"/>
      <c r="G253" s="120"/>
      <c r="H253" s="120"/>
      <c r="I253" s="120"/>
      <c r="J253" s="120"/>
      <c r="K253" s="120"/>
      <c r="L253" s="122"/>
      <c r="M253" s="120" t="s">
        <v>111</v>
      </c>
      <c r="N253" s="120"/>
      <c r="O253" s="120"/>
      <c r="P253" s="120"/>
      <c r="Q253" s="120"/>
      <c r="R253" s="120"/>
      <c r="S253" s="120"/>
      <c r="T253" s="122"/>
      <c r="U253" s="120" t="s">
        <v>112</v>
      </c>
      <c r="V253" s="120"/>
      <c r="W253" s="120"/>
      <c r="X253" s="120"/>
      <c r="Y253" s="120"/>
      <c r="Z253" s="120"/>
      <c r="AA253" s="120"/>
      <c r="AB253" s="122"/>
      <c r="AC253" s="120" t="s">
        <v>113</v>
      </c>
      <c r="AD253" s="120"/>
      <c r="AE253" s="120"/>
      <c r="AF253" s="120"/>
      <c r="AG253" s="120"/>
      <c r="AH253" s="120"/>
      <c r="AI253" s="120"/>
    </row>
    <row r="254" spans="2:35" s="22" customFormat="1" ht="15" hidden="1" customHeight="1">
      <c r="B254" s="136"/>
      <c r="C254" s="124"/>
      <c r="D254" s="123"/>
      <c r="E254" s="121"/>
      <c r="F254" s="121"/>
      <c r="G254" s="121"/>
      <c r="H254" s="121"/>
      <c r="I254" s="121"/>
      <c r="J254" s="121"/>
      <c r="K254" s="121"/>
      <c r="L254" s="141"/>
      <c r="M254" s="121"/>
      <c r="N254" s="121"/>
      <c r="O254" s="121"/>
      <c r="P254" s="121"/>
      <c r="Q254" s="121"/>
      <c r="R254" s="121"/>
      <c r="S254" s="121"/>
      <c r="T254" s="123"/>
      <c r="U254" s="121"/>
      <c r="V254" s="121"/>
      <c r="W254" s="121"/>
      <c r="X254" s="121"/>
      <c r="Y254" s="121"/>
      <c r="Z254" s="121"/>
      <c r="AA254" s="121"/>
      <c r="AB254" s="123"/>
      <c r="AC254" s="121"/>
      <c r="AD254" s="121"/>
      <c r="AE254" s="121"/>
      <c r="AF254" s="121"/>
      <c r="AG254" s="121"/>
      <c r="AH254" s="121"/>
      <c r="AI254" s="121"/>
    </row>
    <row r="255" spans="2:35" s="22" customFormat="1" ht="15" hidden="1" thickBot="1">
      <c r="B255" s="32" t="s">
        <v>109</v>
      </c>
      <c r="C255" s="40" t="str">
        <f>BIN2HEX(D255&amp;E255&amp;F255&amp;G255)&amp;BIN2HEX(H255&amp;I255&amp;J255&amp;K255)&amp;BIN2HEX(L255&amp;M255&amp;N255&amp;O255)&amp;BIN2HEX(P255&amp;Q255&amp;R255&amp;S255)&amp;BIN2HEX(T255&amp;U255&amp;V255&amp;W255)&amp;BIN2HEX(X255&amp;Y255&amp;Z255&amp;AA255)&amp;BIN2HEX(AB255&amp;AC255&amp;AD255&amp;AE255)&amp;BIN2HEX(AF255&amp;AG255&amp;AH255&amp;AI255)</f>
        <v>40404040</v>
      </c>
      <c r="D255" s="25">
        <v>0</v>
      </c>
      <c r="E255" s="25">
        <v>1</v>
      </c>
      <c r="F255" s="25">
        <v>0</v>
      </c>
      <c r="G255" s="25">
        <v>0</v>
      </c>
      <c r="H255" s="25">
        <v>0</v>
      </c>
      <c r="I255" s="25">
        <v>0</v>
      </c>
      <c r="J255" s="25">
        <v>0</v>
      </c>
      <c r="K255" s="25">
        <v>0</v>
      </c>
      <c r="L255" s="25">
        <v>0</v>
      </c>
      <c r="M255" s="25">
        <v>1</v>
      </c>
      <c r="N255" s="25">
        <v>0</v>
      </c>
      <c r="O255" s="25">
        <v>0</v>
      </c>
      <c r="P255" s="25">
        <v>0</v>
      </c>
      <c r="Q255" s="25">
        <v>0</v>
      </c>
      <c r="R255" s="25">
        <v>0</v>
      </c>
      <c r="S255" s="25">
        <v>0</v>
      </c>
      <c r="T255" s="25">
        <v>0</v>
      </c>
      <c r="U255" s="25">
        <v>1</v>
      </c>
      <c r="V255" s="25">
        <v>0</v>
      </c>
      <c r="W255" s="25">
        <v>0</v>
      </c>
      <c r="X255" s="25">
        <v>0</v>
      </c>
      <c r="Y255" s="25">
        <v>0</v>
      </c>
      <c r="Z255" s="25">
        <v>0</v>
      </c>
      <c r="AA255" s="25">
        <v>0</v>
      </c>
      <c r="AB255" s="25">
        <v>0</v>
      </c>
      <c r="AC255" s="25">
        <v>1</v>
      </c>
      <c r="AD255" s="25">
        <v>0</v>
      </c>
      <c r="AE255" s="25">
        <v>0</v>
      </c>
      <c r="AF255" s="25">
        <v>0</v>
      </c>
      <c r="AG255" s="34">
        <v>0</v>
      </c>
      <c r="AH255" s="34">
        <v>0</v>
      </c>
      <c r="AI255" s="26">
        <v>0</v>
      </c>
    </row>
    <row r="256" spans="2:35" ht="15" hidden="1" thickBot="1">
      <c r="B256" s="32" t="s">
        <v>114</v>
      </c>
      <c r="C256" s="40" t="str">
        <f>BIN2HEX(D256&amp;E256&amp;F256&amp;G256)&amp;BIN2HEX(H256&amp;I256&amp;J256&amp;K256)&amp;BIN2HEX(L256&amp;M256&amp;N256&amp;O256)&amp;BIN2HEX(P256&amp;Q256&amp;R256&amp;S256)&amp;BIN2HEX(T256&amp;U256&amp;V256&amp;W256)&amp;BIN2HEX(X256&amp;Y256&amp;Z256&amp;AA256)&amp;BIN2HEX(AB256&amp;AC256&amp;AD256&amp;AE256)&amp;BIN2HEX(AF256&amp;AG256&amp;AH256&amp;AI256)</f>
        <v>40404040</v>
      </c>
      <c r="D256" s="25">
        <v>0</v>
      </c>
      <c r="E256" s="25">
        <v>1</v>
      </c>
      <c r="F256" s="25">
        <v>0</v>
      </c>
      <c r="G256" s="25">
        <v>0</v>
      </c>
      <c r="H256" s="25">
        <v>0</v>
      </c>
      <c r="I256" s="25">
        <v>0</v>
      </c>
      <c r="J256" s="25">
        <v>0</v>
      </c>
      <c r="K256" s="25">
        <v>0</v>
      </c>
      <c r="L256" s="25">
        <v>0</v>
      </c>
      <c r="M256" s="25">
        <v>1</v>
      </c>
      <c r="N256" s="25">
        <v>0</v>
      </c>
      <c r="O256" s="25">
        <v>0</v>
      </c>
      <c r="P256" s="25">
        <v>0</v>
      </c>
      <c r="Q256" s="25">
        <v>0</v>
      </c>
      <c r="R256" s="25">
        <v>0</v>
      </c>
      <c r="S256" s="25">
        <v>0</v>
      </c>
      <c r="T256" s="25">
        <v>0</v>
      </c>
      <c r="U256" s="25">
        <v>1</v>
      </c>
      <c r="V256" s="25">
        <v>0</v>
      </c>
      <c r="W256" s="25">
        <v>0</v>
      </c>
      <c r="X256" s="25">
        <v>0</v>
      </c>
      <c r="Y256" s="25">
        <v>0</v>
      </c>
      <c r="Z256" s="25">
        <v>0</v>
      </c>
      <c r="AA256" s="25">
        <v>0</v>
      </c>
      <c r="AB256" s="25">
        <v>0</v>
      </c>
      <c r="AC256" s="25">
        <v>1</v>
      </c>
      <c r="AD256" s="25">
        <v>0</v>
      </c>
      <c r="AE256" s="25">
        <v>0</v>
      </c>
      <c r="AF256" s="25">
        <v>0</v>
      </c>
      <c r="AG256" s="37">
        <v>0</v>
      </c>
      <c r="AH256" s="37">
        <v>0</v>
      </c>
      <c r="AI256" s="26">
        <v>0</v>
      </c>
    </row>
    <row r="257" spans="2:36" ht="15" hidden="1" thickBot="1"/>
    <row r="258" spans="2:36" s="22" customFormat="1" ht="15.6" hidden="1">
      <c r="B258" s="31" t="s">
        <v>280</v>
      </c>
      <c r="C258" s="18" t="s">
        <v>6</v>
      </c>
      <c r="D258" s="19">
        <v>31</v>
      </c>
      <c r="E258" s="19">
        <v>30</v>
      </c>
      <c r="F258" s="19">
        <v>29</v>
      </c>
      <c r="G258" s="19">
        <v>28</v>
      </c>
      <c r="H258" s="19">
        <v>27</v>
      </c>
      <c r="I258" s="19">
        <v>26</v>
      </c>
      <c r="J258" s="19">
        <v>25</v>
      </c>
      <c r="K258" s="19">
        <v>24</v>
      </c>
      <c r="L258" s="19">
        <v>23</v>
      </c>
      <c r="M258" s="19">
        <v>22</v>
      </c>
      <c r="N258" s="19">
        <v>21</v>
      </c>
      <c r="O258" s="19">
        <v>20</v>
      </c>
      <c r="P258" s="19">
        <v>19</v>
      </c>
      <c r="Q258" s="19">
        <v>18</v>
      </c>
      <c r="R258" s="19">
        <v>17</v>
      </c>
      <c r="S258" s="19">
        <v>16</v>
      </c>
      <c r="T258" s="19">
        <v>15</v>
      </c>
      <c r="U258" s="19">
        <v>14</v>
      </c>
      <c r="V258" s="19">
        <v>13</v>
      </c>
      <c r="W258" s="19">
        <v>12</v>
      </c>
      <c r="X258" s="19">
        <v>11</v>
      </c>
      <c r="Y258" s="19">
        <v>10</v>
      </c>
      <c r="Z258" s="19">
        <v>9</v>
      </c>
      <c r="AA258" s="19">
        <v>8</v>
      </c>
      <c r="AB258" s="19">
        <v>7</v>
      </c>
      <c r="AC258" s="19">
        <v>6</v>
      </c>
      <c r="AD258" s="19">
        <v>5</v>
      </c>
      <c r="AE258" s="19">
        <v>4</v>
      </c>
      <c r="AF258" s="19">
        <v>3</v>
      </c>
      <c r="AG258" s="19">
        <v>2</v>
      </c>
      <c r="AH258" s="19">
        <v>1</v>
      </c>
      <c r="AI258" s="20">
        <v>0</v>
      </c>
    </row>
    <row r="259" spans="2:36" s="22" customFormat="1" ht="15.75" hidden="1" customHeight="1">
      <c r="B259" s="135" t="s">
        <v>328</v>
      </c>
      <c r="C259" s="124"/>
      <c r="D259" s="122"/>
      <c r="E259" s="120" t="s">
        <v>116</v>
      </c>
      <c r="F259" s="120"/>
      <c r="G259" s="120"/>
      <c r="H259" s="120"/>
      <c r="I259" s="120"/>
      <c r="J259" s="120"/>
      <c r="K259" s="120"/>
      <c r="L259" s="122"/>
      <c r="M259" s="120" t="s">
        <v>117</v>
      </c>
      <c r="N259" s="120"/>
      <c r="O259" s="120"/>
      <c r="P259" s="120"/>
      <c r="Q259" s="120"/>
      <c r="R259" s="120"/>
      <c r="S259" s="120"/>
      <c r="T259" s="122"/>
      <c r="U259" s="120" t="s">
        <v>118</v>
      </c>
      <c r="V259" s="120"/>
      <c r="W259" s="120"/>
      <c r="X259" s="120"/>
      <c r="Y259" s="120"/>
      <c r="Z259" s="120"/>
      <c r="AA259" s="120"/>
      <c r="AB259" s="122"/>
      <c r="AC259" s="120" t="s">
        <v>119</v>
      </c>
      <c r="AD259" s="120"/>
      <c r="AE259" s="120"/>
      <c r="AF259" s="120"/>
      <c r="AG259" s="120"/>
      <c r="AH259" s="120"/>
      <c r="AI259" s="120"/>
    </row>
    <row r="260" spans="2:36" s="22" customFormat="1" ht="15" hidden="1" customHeight="1">
      <c r="B260" s="136"/>
      <c r="C260" s="124"/>
      <c r="D260" s="123"/>
      <c r="E260" s="121"/>
      <c r="F260" s="121"/>
      <c r="G260" s="121"/>
      <c r="H260" s="121"/>
      <c r="I260" s="121"/>
      <c r="J260" s="121"/>
      <c r="K260" s="121"/>
      <c r="L260" s="141"/>
      <c r="M260" s="121"/>
      <c r="N260" s="121"/>
      <c r="O260" s="121"/>
      <c r="P260" s="121"/>
      <c r="Q260" s="121"/>
      <c r="R260" s="121"/>
      <c r="S260" s="121"/>
      <c r="T260" s="123"/>
      <c r="U260" s="121"/>
      <c r="V260" s="121"/>
      <c r="W260" s="121"/>
      <c r="X260" s="121"/>
      <c r="Y260" s="121"/>
      <c r="Z260" s="121"/>
      <c r="AA260" s="121"/>
      <c r="AB260" s="123"/>
      <c r="AC260" s="121"/>
      <c r="AD260" s="121"/>
      <c r="AE260" s="121"/>
      <c r="AF260" s="121"/>
      <c r="AG260" s="121"/>
      <c r="AH260" s="121"/>
      <c r="AI260" s="121"/>
    </row>
    <row r="261" spans="2:36" s="22" customFormat="1" ht="15" hidden="1" thickBot="1">
      <c r="B261" s="32" t="s">
        <v>115</v>
      </c>
      <c r="C261" s="40" t="str">
        <f>BIN2HEX(D261&amp;E261&amp;F261&amp;G261)&amp;BIN2HEX(H261&amp;I261&amp;J261&amp;K261)&amp;BIN2HEX(L261&amp;M261&amp;N261&amp;O261)&amp;BIN2HEX(P261&amp;Q261&amp;R261&amp;S261)&amp;BIN2HEX(T261&amp;U261&amp;V261&amp;W261)&amp;BIN2HEX(X261&amp;Y261&amp;Z261&amp;AA261)&amp;BIN2HEX(AB261&amp;AC261&amp;AD261&amp;AE261)&amp;BIN2HEX(AF261&amp;AG261&amp;AH261&amp;AI261)</f>
        <v>40404040</v>
      </c>
      <c r="D261" s="25">
        <v>0</v>
      </c>
      <c r="E261" s="25">
        <v>1</v>
      </c>
      <c r="F261" s="25">
        <v>0</v>
      </c>
      <c r="G261" s="25">
        <v>0</v>
      </c>
      <c r="H261" s="25">
        <v>0</v>
      </c>
      <c r="I261" s="25">
        <v>0</v>
      </c>
      <c r="J261" s="25">
        <v>0</v>
      </c>
      <c r="K261" s="25">
        <v>0</v>
      </c>
      <c r="L261" s="25">
        <v>0</v>
      </c>
      <c r="M261" s="25">
        <v>1</v>
      </c>
      <c r="N261" s="25">
        <v>0</v>
      </c>
      <c r="O261" s="25">
        <v>0</v>
      </c>
      <c r="P261" s="25">
        <v>0</v>
      </c>
      <c r="Q261" s="25">
        <v>0</v>
      </c>
      <c r="R261" s="25">
        <v>0</v>
      </c>
      <c r="S261" s="25">
        <v>0</v>
      </c>
      <c r="T261" s="25">
        <v>0</v>
      </c>
      <c r="U261" s="25">
        <v>1</v>
      </c>
      <c r="V261" s="25">
        <v>0</v>
      </c>
      <c r="W261" s="25">
        <v>0</v>
      </c>
      <c r="X261" s="25">
        <v>0</v>
      </c>
      <c r="Y261" s="25">
        <v>0</v>
      </c>
      <c r="Z261" s="25">
        <v>0</v>
      </c>
      <c r="AA261" s="25">
        <v>0</v>
      </c>
      <c r="AB261" s="25">
        <v>0</v>
      </c>
      <c r="AC261" s="25">
        <v>1</v>
      </c>
      <c r="AD261" s="25">
        <v>0</v>
      </c>
      <c r="AE261" s="25">
        <v>0</v>
      </c>
      <c r="AF261" s="25">
        <v>0</v>
      </c>
      <c r="AG261" s="89">
        <v>0</v>
      </c>
      <c r="AH261" s="89">
        <v>0</v>
      </c>
      <c r="AI261" s="26">
        <v>0</v>
      </c>
    </row>
    <row r="262" spans="2:36" ht="15" hidden="1" thickBot="1">
      <c r="B262" s="32" t="s">
        <v>120</v>
      </c>
      <c r="C262" s="40" t="str">
        <f>BIN2HEX(D262&amp;E262&amp;F262&amp;G262)&amp;BIN2HEX(H262&amp;I262&amp;J262&amp;K262)&amp;BIN2HEX(L262&amp;M262&amp;N262&amp;O262)&amp;BIN2HEX(P262&amp;Q262&amp;R262&amp;S262)&amp;BIN2HEX(T262&amp;U262&amp;V262&amp;W262)&amp;BIN2HEX(X262&amp;Y262&amp;Z262&amp;AA262)&amp;BIN2HEX(AB262&amp;AC262&amp;AD262&amp;AE262)&amp;BIN2HEX(AF262&amp;AG262&amp;AH262&amp;AI262)</f>
        <v>40404040</v>
      </c>
      <c r="D262" s="25">
        <v>0</v>
      </c>
      <c r="E262" s="25">
        <v>1</v>
      </c>
      <c r="F262" s="25">
        <v>0</v>
      </c>
      <c r="G262" s="25">
        <v>0</v>
      </c>
      <c r="H262" s="25">
        <v>0</v>
      </c>
      <c r="I262" s="25">
        <v>0</v>
      </c>
      <c r="J262" s="25">
        <v>0</v>
      </c>
      <c r="K262" s="25">
        <v>0</v>
      </c>
      <c r="L262" s="25">
        <v>0</v>
      </c>
      <c r="M262" s="25">
        <v>1</v>
      </c>
      <c r="N262" s="25">
        <v>0</v>
      </c>
      <c r="O262" s="25">
        <v>0</v>
      </c>
      <c r="P262" s="25">
        <v>0</v>
      </c>
      <c r="Q262" s="25">
        <v>0</v>
      </c>
      <c r="R262" s="25">
        <v>0</v>
      </c>
      <c r="S262" s="25">
        <v>0</v>
      </c>
      <c r="T262" s="25">
        <v>0</v>
      </c>
      <c r="U262" s="25">
        <v>1</v>
      </c>
      <c r="V262" s="25">
        <v>0</v>
      </c>
      <c r="W262" s="25">
        <v>0</v>
      </c>
      <c r="X262" s="25">
        <v>0</v>
      </c>
      <c r="Y262" s="25">
        <v>0</v>
      </c>
      <c r="Z262" s="25">
        <v>0</v>
      </c>
      <c r="AA262" s="25">
        <v>0</v>
      </c>
      <c r="AB262" s="25">
        <v>0</v>
      </c>
      <c r="AC262" s="25">
        <v>1</v>
      </c>
      <c r="AD262" s="25">
        <v>0</v>
      </c>
      <c r="AE262" s="25">
        <v>0</v>
      </c>
      <c r="AF262" s="25">
        <v>0</v>
      </c>
      <c r="AG262" s="37">
        <v>0</v>
      </c>
      <c r="AH262" s="37">
        <v>0</v>
      </c>
      <c r="AI262" s="26">
        <v>0</v>
      </c>
    </row>
    <row r="263" spans="2:36" ht="15" hidden="1" thickBot="1"/>
    <row r="264" spans="2:36" s="22" customFormat="1" ht="15.6" hidden="1">
      <c r="B264" s="17" t="s">
        <v>280</v>
      </c>
      <c r="C264" s="18" t="s">
        <v>6</v>
      </c>
      <c r="D264" s="19">
        <v>31</v>
      </c>
      <c r="E264" s="19">
        <v>30</v>
      </c>
      <c r="F264" s="19">
        <v>29</v>
      </c>
      <c r="G264" s="19">
        <v>28</v>
      </c>
      <c r="H264" s="19">
        <v>27</v>
      </c>
      <c r="I264" s="19">
        <v>26</v>
      </c>
      <c r="J264" s="19">
        <v>25</v>
      </c>
      <c r="K264" s="19">
        <v>24</v>
      </c>
      <c r="L264" s="19">
        <v>23</v>
      </c>
      <c r="M264" s="19">
        <v>22</v>
      </c>
      <c r="N264" s="19">
        <v>21</v>
      </c>
      <c r="O264" s="19">
        <v>20</v>
      </c>
      <c r="P264" s="19">
        <v>19</v>
      </c>
      <c r="Q264" s="19">
        <v>18</v>
      </c>
      <c r="R264" s="19">
        <v>17</v>
      </c>
      <c r="S264" s="19">
        <v>16</v>
      </c>
      <c r="T264" s="19">
        <v>15</v>
      </c>
      <c r="U264" s="19">
        <v>14</v>
      </c>
      <c r="V264" s="19">
        <v>13</v>
      </c>
      <c r="W264" s="19">
        <v>12</v>
      </c>
      <c r="X264" s="19">
        <v>11</v>
      </c>
      <c r="Y264" s="19">
        <v>10</v>
      </c>
      <c r="Z264" s="19">
        <v>9</v>
      </c>
      <c r="AA264" s="19">
        <v>8</v>
      </c>
      <c r="AB264" s="19">
        <v>7</v>
      </c>
      <c r="AC264" s="19">
        <v>6</v>
      </c>
      <c r="AD264" s="19">
        <v>5</v>
      </c>
      <c r="AE264" s="19">
        <v>4</v>
      </c>
      <c r="AF264" s="19">
        <v>3</v>
      </c>
      <c r="AG264" s="19">
        <v>2</v>
      </c>
      <c r="AH264" s="19">
        <v>1</v>
      </c>
      <c r="AI264" s="20">
        <v>0</v>
      </c>
    </row>
    <row r="265" spans="2:36" s="22" customFormat="1" ht="15.75" hidden="1" customHeight="1">
      <c r="B265" s="111" t="s">
        <v>329</v>
      </c>
      <c r="C265" s="124"/>
      <c r="D265" s="122"/>
      <c r="E265" s="142" t="s">
        <v>122</v>
      </c>
      <c r="F265" s="143"/>
      <c r="G265" s="143"/>
      <c r="H265" s="122"/>
      <c r="I265" s="142" t="s">
        <v>123</v>
      </c>
      <c r="J265" s="143"/>
      <c r="K265" s="143"/>
      <c r="L265" s="122"/>
      <c r="M265" s="142" t="s">
        <v>124</v>
      </c>
      <c r="N265" s="143"/>
      <c r="O265" s="143"/>
      <c r="P265" s="122"/>
      <c r="Q265" s="142" t="s">
        <v>125</v>
      </c>
      <c r="R265" s="143"/>
      <c r="S265" s="143"/>
      <c r="T265" s="122"/>
      <c r="U265" s="142" t="s">
        <v>126</v>
      </c>
      <c r="V265" s="143"/>
      <c r="W265" s="143"/>
      <c r="X265" s="122"/>
      <c r="Y265" s="142" t="s">
        <v>127</v>
      </c>
      <c r="Z265" s="143"/>
      <c r="AA265" s="143"/>
      <c r="AB265" s="122"/>
      <c r="AC265" s="142" t="s">
        <v>128</v>
      </c>
      <c r="AD265" s="143"/>
      <c r="AE265" s="143"/>
      <c r="AF265" s="122"/>
      <c r="AG265" s="142" t="s">
        <v>129</v>
      </c>
      <c r="AH265" s="143"/>
      <c r="AI265" s="144"/>
      <c r="AJ265" s="21"/>
    </row>
    <row r="266" spans="2:36" s="22" customFormat="1" ht="15" hidden="1" customHeight="1">
      <c r="B266" s="112"/>
      <c r="C266" s="124"/>
      <c r="D266" s="123"/>
      <c r="E266" s="145"/>
      <c r="F266" s="146"/>
      <c r="G266" s="146"/>
      <c r="H266" s="123"/>
      <c r="I266" s="145"/>
      <c r="J266" s="146"/>
      <c r="K266" s="146"/>
      <c r="L266" s="123"/>
      <c r="M266" s="145"/>
      <c r="N266" s="146"/>
      <c r="O266" s="146"/>
      <c r="P266" s="123"/>
      <c r="Q266" s="145"/>
      <c r="R266" s="146"/>
      <c r="S266" s="146"/>
      <c r="T266" s="123"/>
      <c r="U266" s="145"/>
      <c r="V266" s="146"/>
      <c r="W266" s="146"/>
      <c r="X266" s="123"/>
      <c r="Y266" s="145"/>
      <c r="Z266" s="146"/>
      <c r="AA266" s="146"/>
      <c r="AB266" s="123"/>
      <c r="AC266" s="145"/>
      <c r="AD266" s="146"/>
      <c r="AE266" s="146"/>
      <c r="AF266" s="123"/>
      <c r="AG266" s="145"/>
      <c r="AH266" s="146"/>
      <c r="AI266" s="147"/>
      <c r="AJ266" s="21"/>
    </row>
    <row r="267" spans="2:36" s="22" customFormat="1" ht="15" hidden="1" thickBot="1">
      <c r="B267" s="23" t="s">
        <v>121</v>
      </c>
      <c r="C267" s="24" t="str">
        <f>BIN2HEX(D267&amp;E267&amp;F267&amp;G267)&amp;BIN2HEX(H267&amp;I267&amp;J267&amp;K267)&amp;BIN2HEX(L267&amp;M267&amp;N267&amp;O267)&amp;BIN2HEX(P267&amp;Q267&amp;R267&amp;S267)&amp;BIN2HEX(T267&amp;U267&amp;V267&amp;W267)&amp;BIN2HEX(X267&amp;Y267&amp;Z267&amp;AA267)&amp;BIN2HEX(AB267&amp;AC267&amp;AD267&amp;AE267)&amp;BIN2HEX(AF267&amp;AG267&amp;AH267&amp;AI267)</f>
        <v>33333333</v>
      </c>
      <c r="D267" s="25">
        <v>0</v>
      </c>
      <c r="E267" s="25">
        <v>0</v>
      </c>
      <c r="F267" s="25">
        <v>1</v>
      </c>
      <c r="G267" s="25">
        <v>1</v>
      </c>
      <c r="H267" s="25">
        <v>0</v>
      </c>
      <c r="I267" s="25">
        <v>0</v>
      </c>
      <c r="J267" s="25">
        <v>1</v>
      </c>
      <c r="K267" s="25">
        <v>1</v>
      </c>
      <c r="L267" s="25">
        <v>0</v>
      </c>
      <c r="M267" s="25">
        <v>0</v>
      </c>
      <c r="N267" s="25">
        <v>1</v>
      </c>
      <c r="O267" s="25">
        <v>1</v>
      </c>
      <c r="P267" s="25">
        <v>0</v>
      </c>
      <c r="Q267" s="25">
        <v>0</v>
      </c>
      <c r="R267" s="25">
        <v>1</v>
      </c>
      <c r="S267" s="25">
        <v>1</v>
      </c>
      <c r="T267" s="25">
        <v>0</v>
      </c>
      <c r="U267" s="25">
        <v>0</v>
      </c>
      <c r="V267" s="25">
        <v>1</v>
      </c>
      <c r="W267" s="25">
        <v>1</v>
      </c>
      <c r="X267" s="25">
        <v>0</v>
      </c>
      <c r="Y267" s="25">
        <v>0</v>
      </c>
      <c r="Z267" s="25">
        <v>1</v>
      </c>
      <c r="AA267" s="25">
        <v>1</v>
      </c>
      <c r="AB267" s="25">
        <v>0</v>
      </c>
      <c r="AC267" s="25">
        <v>0</v>
      </c>
      <c r="AD267" s="25">
        <v>1</v>
      </c>
      <c r="AE267" s="25">
        <v>1</v>
      </c>
      <c r="AF267" s="25">
        <v>0</v>
      </c>
      <c r="AG267" s="25">
        <v>0</v>
      </c>
      <c r="AH267" s="25">
        <v>1</v>
      </c>
      <c r="AI267" s="25">
        <v>1</v>
      </c>
    </row>
    <row r="268" spans="2:36" s="22" customFormat="1" ht="15" hidden="1" thickBot="1">
      <c r="B268" s="23" t="s">
        <v>158</v>
      </c>
      <c r="C268" s="24" t="str">
        <f>BIN2HEX(D268&amp;E268&amp;F268&amp;G268)&amp;BIN2HEX(H268&amp;I268&amp;J268&amp;K268)&amp;BIN2HEX(L268&amp;M268&amp;N268&amp;O268)&amp;BIN2HEX(P268&amp;Q268&amp;R268&amp;S268)&amp;BIN2HEX(T268&amp;U268&amp;V268&amp;W268)&amp;BIN2HEX(X268&amp;Y268&amp;Z268&amp;AA268)&amp;BIN2HEX(AB268&amp;AC268&amp;AD268&amp;AE268)&amp;BIN2HEX(AF268&amp;AG268&amp;AH268&amp;AI268)</f>
        <v>33333333</v>
      </c>
      <c r="D268" s="25">
        <v>0</v>
      </c>
      <c r="E268" s="25">
        <v>0</v>
      </c>
      <c r="F268" s="25">
        <v>1</v>
      </c>
      <c r="G268" s="25">
        <v>1</v>
      </c>
      <c r="H268" s="25">
        <v>0</v>
      </c>
      <c r="I268" s="25">
        <v>0</v>
      </c>
      <c r="J268" s="25">
        <v>1</v>
      </c>
      <c r="K268" s="25">
        <v>1</v>
      </c>
      <c r="L268" s="25">
        <v>0</v>
      </c>
      <c r="M268" s="25">
        <v>0</v>
      </c>
      <c r="N268" s="25">
        <v>1</v>
      </c>
      <c r="O268" s="25">
        <v>1</v>
      </c>
      <c r="P268" s="25">
        <v>0</v>
      </c>
      <c r="Q268" s="25">
        <v>0</v>
      </c>
      <c r="R268" s="25">
        <v>1</v>
      </c>
      <c r="S268" s="25">
        <v>1</v>
      </c>
      <c r="T268" s="25">
        <v>0</v>
      </c>
      <c r="U268" s="25">
        <v>0</v>
      </c>
      <c r="V268" s="25">
        <v>1</v>
      </c>
      <c r="W268" s="25">
        <v>1</v>
      </c>
      <c r="X268" s="25">
        <v>0</v>
      </c>
      <c r="Y268" s="25">
        <v>0</v>
      </c>
      <c r="Z268" s="25">
        <v>1</v>
      </c>
      <c r="AA268" s="25">
        <v>1</v>
      </c>
      <c r="AB268" s="25">
        <v>0</v>
      </c>
      <c r="AC268" s="25">
        <v>0</v>
      </c>
      <c r="AD268" s="25">
        <v>1</v>
      </c>
      <c r="AE268" s="25">
        <v>1</v>
      </c>
      <c r="AF268" s="25">
        <v>0</v>
      </c>
      <c r="AG268" s="25">
        <v>0</v>
      </c>
      <c r="AH268" s="25">
        <v>1</v>
      </c>
      <c r="AI268" s="25">
        <v>1</v>
      </c>
    </row>
    <row r="269" spans="2:36" ht="15" hidden="1" thickBot="1"/>
    <row r="270" spans="2:36" s="22" customFormat="1" ht="15.6" hidden="1">
      <c r="B270" s="17" t="s">
        <v>280</v>
      </c>
      <c r="C270" s="18" t="s">
        <v>6</v>
      </c>
      <c r="D270" s="19">
        <v>31</v>
      </c>
      <c r="E270" s="19">
        <v>30</v>
      </c>
      <c r="F270" s="19">
        <v>29</v>
      </c>
      <c r="G270" s="19">
        <v>28</v>
      </c>
      <c r="H270" s="19">
        <v>27</v>
      </c>
      <c r="I270" s="19">
        <v>26</v>
      </c>
      <c r="J270" s="19">
        <v>25</v>
      </c>
      <c r="K270" s="19">
        <v>24</v>
      </c>
      <c r="L270" s="19">
        <v>23</v>
      </c>
      <c r="M270" s="19">
        <v>22</v>
      </c>
      <c r="N270" s="19">
        <v>21</v>
      </c>
      <c r="O270" s="19">
        <v>20</v>
      </c>
      <c r="P270" s="19">
        <v>19</v>
      </c>
      <c r="Q270" s="19">
        <v>18</v>
      </c>
      <c r="R270" s="19">
        <v>17</v>
      </c>
      <c r="S270" s="19">
        <v>16</v>
      </c>
      <c r="T270" s="19">
        <v>15</v>
      </c>
      <c r="U270" s="19">
        <v>14</v>
      </c>
      <c r="V270" s="19">
        <v>13</v>
      </c>
      <c r="W270" s="19">
        <v>12</v>
      </c>
      <c r="X270" s="19">
        <v>11</v>
      </c>
      <c r="Y270" s="19">
        <v>10</v>
      </c>
      <c r="Z270" s="19">
        <v>9</v>
      </c>
      <c r="AA270" s="19">
        <v>8</v>
      </c>
      <c r="AB270" s="19">
        <v>7</v>
      </c>
      <c r="AC270" s="19">
        <v>6</v>
      </c>
      <c r="AD270" s="19">
        <v>5</v>
      </c>
      <c r="AE270" s="19">
        <v>4</v>
      </c>
      <c r="AF270" s="19">
        <v>3</v>
      </c>
      <c r="AG270" s="19">
        <v>2</v>
      </c>
      <c r="AH270" s="19">
        <v>1</v>
      </c>
      <c r="AI270" s="20">
        <v>0</v>
      </c>
    </row>
    <row r="271" spans="2:36" s="22" customFormat="1" ht="15.75" hidden="1" customHeight="1">
      <c r="B271" s="111" t="s">
        <v>330</v>
      </c>
      <c r="C271" s="124"/>
      <c r="D271" s="122"/>
      <c r="E271" s="142" t="s">
        <v>138</v>
      </c>
      <c r="F271" s="143"/>
      <c r="G271" s="143"/>
      <c r="H271" s="122"/>
      <c r="I271" s="142" t="s">
        <v>137</v>
      </c>
      <c r="J271" s="143"/>
      <c r="K271" s="143"/>
      <c r="L271" s="122"/>
      <c r="M271" s="142" t="s">
        <v>136</v>
      </c>
      <c r="N271" s="143"/>
      <c r="O271" s="143"/>
      <c r="P271" s="122"/>
      <c r="Q271" s="142" t="s">
        <v>135</v>
      </c>
      <c r="R271" s="143"/>
      <c r="S271" s="143"/>
      <c r="T271" s="122"/>
      <c r="U271" s="142" t="s">
        <v>134</v>
      </c>
      <c r="V271" s="143"/>
      <c r="W271" s="143"/>
      <c r="X271" s="122"/>
      <c r="Y271" s="142" t="s">
        <v>133</v>
      </c>
      <c r="Z271" s="143"/>
      <c r="AA271" s="143"/>
      <c r="AB271" s="122"/>
      <c r="AC271" s="142" t="s">
        <v>132</v>
      </c>
      <c r="AD271" s="143"/>
      <c r="AE271" s="143"/>
      <c r="AF271" s="122"/>
      <c r="AG271" s="142" t="s">
        <v>131</v>
      </c>
      <c r="AH271" s="143"/>
      <c r="AI271" s="144"/>
      <c r="AJ271" s="21"/>
    </row>
    <row r="272" spans="2:36" s="22" customFormat="1" ht="15" hidden="1" customHeight="1">
      <c r="B272" s="112"/>
      <c r="C272" s="124"/>
      <c r="D272" s="123"/>
      <c r="E272" s="145"/>
      <c r="F272" s="146"/>
      <c r="G272" s="146"/>
      <c r="H272" s="123"/>
      <c r="I272" s="145"/>
      <c r="J272" s="146"/>
      <c r="K272" s="146"/>
      <c r="L272" s="123"/>
      <c r="M272" s="145"/>
      <c r="N272" s="146"/>
      <c r="O272" s="146"/>
      <c r="P272" s="123"/>
      <c r="Q272" s="145"/>
      <c r="R272" s="146"/>
      <c r="S272" s="146"/>
      <c r="T272" s="123"/>
      <c r="U272" s="145"/>
      <c r="V272" s="146"/>
      <c r="W272" s="146"/>
      <c r="X272" s="123"/>
      <c r="Y272" s="145"/>
      <c r="Z272" s="146"/>
      <c r="AA272" s="146"/>
      <c r="AB272" s="123"/>
      <c r="AC272" s="145"/>
      <c r="AD272" s="146"/>
      <c r="AE272" s="146"/>
      <c r="AF272" s="123"/>
      <c r="AG272" s="145"/>
      <c r="AH272" s="146"/>
      <c r="AI272" s="147"/>
      <c r="AJ272" s="21"/>
    </row>
    <row r="273" spans="2:36" s="22" customFormat="1" ht="15" hidden="1" thickBot="1">
      <c r="B273" s="23" t="s">
        <v>130</v>
      </c>
      <c r="C273" s="24" t="str">
        <f>BIN2HEX(D273&amp;E273&amp;F273&amp;G273)&amp;BIN2HEX(H273&amp;I273&amp;J273&amp;K273)&amp;BIN2HEX(L273&amp;M273&amp;N273&amp;O273)&amp;BIN2HEX(P273&amp;Q273&amp;R273&amp;S273)&amp;BIN2HEX(T273&amp;U273&amp;V273&amp;W273)&amp;BIN2HEX(X273&amp;Y273&amp;Z273&amp;AA273)&amp;BIN2HEX(AB273&amp;AC273&amp;AD273&amp;AE273)&amp;BIN2HEX(AF273&amp;AG273&amp;AH273&amp;AI273)</f>
        <v>33333333</v>
      </c>
      <c r="D273" s="25">
        <v>0</v>
      </c>
      <c r="E273" s="25">
        <v>0</v>
      </c>
      <c r="F273" s="25">
        <v>1</v>
      </c>
      <c r="G273" s="25">
        <v>1</v>
      </c>
      <c r="H273" s="25">
        <v>0</v>
      </c>
      <c r="I273" s="25">
        <v>0</v>
      </c>
      <c r="J273" s="25">
        <v>1</v>
      </c>
      <c r="K273" s="25">
        <v>1</v>
      </c>
      <c r="L273" s="25">
        <v>0</v>
      </c>
      <c r="M273" s="25">
        <v>0</v>
      </c>
      <c r="N273" s="25">
        <v>1</v>
      </c>
      <c r="O273" s="25">
        <v>1</v>
      </c>
      <c r="P273" s="25">
        <v>0</v>
      </c>
      <c r="Q273" s="25">
        <v>0</v>
      </c>
      <c r="R273" s="25">
        <v>1</v>
      </c>
      <c r="S273" s="25">
        <v>1</v>
      </c>
      <c r="T273" s="25">
        <v>0</v>
      </c>
      <c r="U273" s="25">
        <v>0</v>
      </c>
      <c r="V273" s="25">
        <v>1</v>
      </c>
      <c r="W273" s="25">
        <v>1</v>
      </c>
      <c r="X273" s="25">
        <v>0</v>
      </c>
      <c r="Y273" s="25">
        <v>0</v>
      </c>
      <c r="Z273" s="25">
        <v>1</v>
      </c>
      <c r="AA273" s="25">
        <v>1</v>
      </c>
      <c r="AB273" s="25">
        <v>0</v>
      </c>
      <c r="AC273" s="25">
        <v>0</v>
      </c>
      <c r="AD273" s="25">
        <v>1</v>
      </c>
      <c r="AE273" s="25">
        <v>1</v>
      </c>
      <c r="AF273" s="25">
        <v>0</v>
      </c>
      <c r="AG273" s="25">
        <v>0</v>
      </c>
      <c r="AH273" s="25">
        <v>1</v>
      </c>
      <c r="AI273" s="25">
        <v>1</v>
      </c>
    </row>
    <row r="274" spans="2:36" s="22" customFormat="1" ht="15" hidden="1" thickBot="1">
      <c r="B274" s="23" t="s">
        <v>159</v>
      </c>
      <c r="C274" s="24" t="str">
        <f>BIN2HEX(D274&amp;E274&amp;F274&amp;G274)&amp;BIN2HEX(H274&amp;I274&amp;J274&amp;K274)&amp;BIN2HEX(L274&amp;M274&amp;N274&amp;O274)&amp;BIN2HEX(P274&amp;Q274&amp;R274&amp;S274)&amp;BIN2HEX(T274&amp;U274&amp;V274&amp;W274)&amp;BIN2HEX(X274&amp;Y274&amp;Z274&amp;AA274)&amp;BIN2HEX(AB274&amp;AC274&amp;AD274&amp;AE274)&amp;BIN2HEX(AF274&amp;AG274&amp;AH274&amp;AI274)</f>
        <v>33333333</v>
      </c>
      <c r="D274" s="25">
        <v>0</v>
      </c>
      <c r="E274" s="25">
        <v>0</v>
      </c>
      <c r="F274" s="25">
        <v>1</v>
      </c>
      <c r="G274" s="25">
        <v>1</v>
      </c>
      <c r="H274" s="25">
        <v>0</v>
      </c>
      <c r="I274" s="25">
        <v>0</v>
      </c>
      <c r="J274" s="25">
        <v>1</v>
      </c>
      <c r="K274" s="25">
        <v>1</v>
      </c>
      <c r="L274" s="25">
        <v>0</v>
      </c>
      <c r="M274" s="25">
        <v>0</v>
      </c>
      <c r="N274" s="25">
        <v>1</v>
      </c>
      <c r="O274" s="25">
        <v>1</v>
      </c>
      <c r="P274" s="25">
        <v>0</v>
      </c>
      <c r="Q274" s="25">
        <v>0</v>
      </c>
      <c r="R274" s="25">
        <v>1</v>
      </c>
      <c r="S274" s="25">
        <v>1</v>
      </c>
      <c r="T274" s="25">
        <v>0</v>
      </c>
      <c r="U274" s="25">
        <v>0</v>
      </c>
      <c r="V274" s="25">
        <v>1</v>
      </c>
      <c r="W274" s="25">
        <v>1</v>
      </c>
      <c r="X274" s="25">
        <v>0</v>
      </c>
      <c r="Y274" s="25">
        <v>0</v>
      </c>
      <c r="Z274" s="25">
        <v>1</v>
      </c>
      <c r="AA274" s="25">
        <v>1</v>
      </c>
      <c r="AB274" s="25">
        <v>0</v>
      </c>
      <c r="AC274" s="25">
        <v>0</v>
      </c>
      <c r="AD274" s="25">
        <v>1</v>
      </c>
      <c r="AE274" s="25">
        <v>1</v>
      </c>
      <c r="AF274" s="25">
        <v>0</v>
      </c>
      <c r="AG274" s="25">
        <v>0</v>
      </c>
      <c r="AH274" s="25">
        <v>1</v>
      </c>
      <c r="AI274" s="25">
        <v>1</v>
      </c>
    </row>
    <row r="275" spans="2:36" ht="15" hidden="1" thickBot="1"/>
    <row r="276" spans="2:36" s="22" customFormat="1" ht="15.6" hidden="1">
      <c r="B276" s="17" t="s">
        <v>280</v>
      </c>
      <c r="C276" s="18" t="s">
        <v>6</v>
      </c>
      <c r="D276" s="19">
        <v>31</v>
      </c>
      <c r="E276" s="19">
        <v>30</v>
      </c>
      <c r="F276" s="19">
        <v>29</v>
      </c>
      <c r="G276" s="19">
        <v>28</v>
      </c>
      <c r="H276" s="19">
        <v>27</v>
      </c>
      <c r="I276" s="19">
        <v>26</v>
      </c>
      <c r="J276" s="19">
        <v>25</v>
      </c>
      <c r="K276" s="19">
        <v>24</v>
      </c>
      <c r="L276" s="19">
        <v>23</v>
      </c>
      <c r="M276" s="19">
        <v>22</v>
      </c>
      <c r="N276" s="19">
        <v>21</v>
      </c>
      <c r="O276" s="19">
        <v>20</v>
      </c>
      <c r="P276" s="19">
        <v>19</v>
      </c>
      <c r="Q276" s="19">
        <v>18</v>
      </c>
      <c r="R276" s="19">
        <v>17</v>
      </c>
      <c r="S276" s="19">
        <v>16</v>
      </c>
      <c r="T276" s="19">
        <v>15</v>
      </c>
      <c r="U276" s="19">
        <v>14</v>
      </c>
      <c r="V276" s="19">
        <v>13</v>
      </c>
      <c r="W276" s="19">
        <v>12</v>
      </c>
      <c r="X276" s="19">
        <v>11</v>
      </c>
      <c r="Y276" s="19">
        <v>10</v>
      </c>
      <c r="Z276" s="19">
        <v>9</v>
      </c>
      <c r="AA276" s="19">
        <v>8</v>
      </c>
      <c r="AB276" s="19">
        <v>7</v>
      </c>
      <c r="AC276" s="19">
        <v>6</v>
      </c>
      <c r="AD276" s="19">
        <v>5</v>
      </c>
      <c r="AE276" s="19">
        <v>4</v>
      </c>
      <c r="AF276" s="19">
        <v>3</v>
      </c>
      <c r="AG276" s="19">
        <v>2</v>
      </c>
      <c r="AH276" s="19">
        <v>1</v>
      </c>
      <c r="AI276" s="20">
        <v>0</v>
      </c>
    </row>
    <row r="277" spans="2:36" s="22" customFormat="1" ht="15.75" hidden="1" customHeight="1">
      <c r="B277" s="111" t="s">
        <v>331</v>
      </c>
      <c r="C277" s="124"/>
      <c r="D277" s="122"/>
      <c r="E277" s="142" t="s">
        <v>148</v>
      </c>
      <c r="F277" s="143"/>
      <c r="G277" s="143"/>
      <c r="H277" s="122"/>
      <c r="I277" s="142" t="s">
        <v>147</v>
      </c>
      <c r="J277" s="143"/>
      <c r="K277" s="143"/>
      <c r="L277" s="122"/>
      <c r="M277" s="142" t="s">
        <v>146</v>
      </c>
      <c r="N277" s="143"/>
      <c r="O277" s="143"/>
      <c r="P277" s="122"/>
      <c r="Q277" s="142" t="s">
        <v>145</v>
      </c>
      <c r="R277" s="143"/>
      <c r="S277" s="143"/>
      <c r="T277" s="122"/>
      <c r="U277" s="142" t="s">
        <v>144</v>
      </c>
      <c r="V277" s="143"/>
      <c r="W277" s="143"/>
      <c r="X277" s="122"/>
      <c r="Y277" s="142" t="s">
        <v>143</v>
      </c>
      <c r="Z277" s="143"/>
      <c r="AA277" s="143"/>
      <c r="AB277" s="122"/>
      <c r="AC277" s="142" t="s">
        <v>142</v>
      </c>
      <c r="AD277" s="143"/>
      <c r="AE277" s="143"/>
      <c r="AF277" s="122"/>
      <c r="AG277" s="142" t="s">
        <v>141</v>
      </c>
      <c r="AH277" s="143"/>
      <c r="AI277" s="144"/>
      <c r="AJ277" s="21"/>
    </row>
    <row r="278" spans="2:36" s="22" customFormat="1" ht="15" hidden="1" customHeight="1">
      <c r="B278" s="112"/>
      <c r="C278" s="124"/>
      <c r="D278" s="123"/>
      <c r="E278" s="145"/>
      <c r="F278" s="146"/>
      <c r="G278" s="146"/>
      <c r="H278" s="123"/>
      <c r="I278" s="145"/>
      <c r="J278" s="146"/>
      <c r="K278" s="146"/>
      <c r="L278" s="123"/>
      <c r="M278" s="145"/>
      <c r="N278" s="146"/>
      <c r="O278" s="146"/>
      <c r="P278" s="123"/>
      <c r="Q278" s="145"/>
      <c r="R278" s="146"/>
      <c r="S278" s="146"/>
      <c r="T278" s="123"/>
      <c r="U278" s="145"/>
      <c r="V278" s="146"/>
      <c r="W278" s="146"/>
      <c r="X278" s="123"/>
      <c r="Y278" s="145"/>
      <c r="Z278" s="146"/>
      <c r="AA278" s="146"/>
      <c r="AB278" s="123"/>
      <c r="AC278" s="145"/>
      <c r="AD278" s="146"/>
      <c r="AE278" s="146"/>
      <c r="AF278" s="123"/>
      <c r="AG278" s="145"/>
      <c r="AH278" s="146"/>
      <c r="AI278" s="147"/>
      <c r="AJ278" s="21"/>
    </row>
    <row r="279" spans="2:36" s="22" customFormat="1" ht="15" hidden="1" thickBot="1">
      <c r="B279" s="23" t="s">
        <v>139</v>
      </c>
      <c r="C279" s="24" t="str">
        <f>BIN2HEX(D279&amp;E279&amp;F279&amp;G279)&amp;BIN2HEX(H279&amp;I279&amp;J279&amp;K279)&amp;BIN2HEX(L279&amp;M279&amp;N279&amp;O279)&amp;BIN2HEX(P279&amp;Q279&amp;R279&amp;S279)&amp;BIN2HEX(T279&amp;U279&amp;V279&amp;W279)&amp;BIN2HEX(X279&amp;Y279&amp;Z279&amp;AA279)&amp;BIN2HEX(AB279&amp;AC279&amp;AD279&amp;AE279)&amp;BIN2HEX(AF279&amp;AG279&amp;AH279&amp;AI279)</f>
        <v>33333333</v>
      </c>
      <c r="D279" s="25">
        <v>0</v>
      </c>
      <c r="E279" s="25">
        <v>0</v>
      </c>
      <c r="F279" s="25">
        <v>1</v>
      </c>
      <c r="G279" s="25">
        <v>1</v>
      </c>
      <c r="H279" s="25">
        <v>0</v>
      </c>
      <c r="I279" s="25">
        <v>0</v>
      </c>
      <c r="J279" s="25">
        <v>1</v>
      </c>
      <c r="K279" s="25">
        <v>1</v>
      </c>
      <c r="L279" s="25">
        <v>0</v>
      </c>
      <c r="M279" s="25">
        <v>0</v>
      </c>
      <c r="N279" s="25">
        <v>1</v>
      </c>
      <c r="O279" s="25">
        <v>1</v>
      </c>
      <c r="P279" s="25">
        <v>0</v>
      </c>
      <c r="Q279" s="25">
        <v>0</v>
      </c>
      <c r="R279" s="25">
        <v>1</v>
      </c>
      <c r="S279" s="25">
        <v>1</v>
      </c>
      <c r="T279" s="25">
        <v>0</v>
      </c>
      <c r="U279" s="25">
        <v>0</v>
      </c>
      <c r="V279" s="25">
        <v>1</v>
      </c>
      <c r="W279" s="25">
        <v>1</v>
      </c>
      <c r="X279" s="25">
        <v>0</v>
      </c>
      <c r="Y279" s="25">
        <v>0</v>
      </c>
      <c r="Z279" s="25">
        <v>1</v>
      </c>
      <c r="AA279" s="25">
        <v>1</v>
      </c>
      <c r="AB279" s="25">
        <v>0</v>
      </c>
      <c r="AC279" s="25">
        <v>0</v>
      </c>
      <c r="AD279" s="25">
        <v>1</v>
      </c>
      <c r="AE279" s="25">
        <v>1</v>
      </c>
      <c r="AF279" s="25">
        <v>0</v>
      </c>
      <c r="AG279" s="25">
        <v>0</v>
      </c>
      <c r="AH279" s="25">
        <v>1</v>
      </c>
      <c r="AI279" s="25">
        <v>1</v>
      </c>
    </row>
    <row r="280" spans="2:36" s="22" customFormat="1" ht="15" hidden="1" thickBot="1">
      <c r="B280" s="23" t="s">
        <v>160</v>
      </c>
      <c r="C280" s="24" t="str">
        <f>BIN2HEX(D280&amp;E280&amp;F280&amp;G280)&amp;BIN2HEX(H280&amp;I280&amp;J280&amp;K280)&amp;BIN2HEX(L280&amp;M280&amp;N280&amp;O280)&amp;BIN2HEX(P280&amp;Q280&amp;R280&amp;S280)&amp;BIN2HEX(T280&amp;U280&amp;V280&amp;W280)&amp;BIN2HEX(X280&amp;Y280&amp;Z280&amp;AA280)&amp;BIN2HEX(AB280&amp;AC280&amp;AD280&amp;AE280)&amp;BIN2HEX(AF280&amp;AG280&amp;AH280&amp;AI280)</f>
        <v>33333333</v>
      </c>
      <c r="D280" s="25">
        <v>0</v>
      </c>
      <c r="E280" s="25">
        <v>0</v>
      </c>
      <c r="F280" s="25">
        <v>1</v>
      </c>
      <c r="G280" s="25">
        <v>1</v>
      </c>
      <c r="H280" s="25">
        <v>0</v>
      </c>
      <c r="I280" s="25">
        <v>0</v>
      </c>
      <c r="J280" s="25">
        <v>1</v>
      </c>
      <c r="K280" s="25">
        <v>1</v>
      </c>
      <c r="L280" s="25">
        <v>0</v>
      </c>
      <c r="M280" s="25">
        <v>0</v>
      </c>
      <c r="N280" s="25">
        <v>1</v>
      </c>
      <c r="O280" s="25">
        <v>1</v>
      </c>
      <c r="P280" s="25">
        <v>0</v>
      </c>
      <c r="Q280" s="25">
        <v>0</v>
      </c>
      <c r="R280" s="25">
        <v>1</v>
      </c>
      <c r="S280" s="25">
        <v>1</v>
      </c>
      <c r="T280" s="25">
        <v>0</v>
      </c>
      <c r="U280" s="25">
        <v>0</v>
      </c>
      <c r="V280" s="25">
        <v>1</v>
      </c>
      <c r="W280" s="25">
        <v>1</v>
      </c>
      <c r="X280" s="25">
        <v>0</v>
      </c>
      <c r="Y280" s="25">
        <v>0</v>
      </c>
      <c r="Z280" s="25">
        <v>1</v>
      </c>
      <c r="AA280" s="25">
        <v>1</v>
      </c>
      <c r="AB280" s="25">
        <v>0</v>
      </c>
      <c r="AC280" s="25">
        <v>0</v>
      </c>
      <c r="AD280" s="25">
        <v>1</v>
      </c>
      <c r="AE280" s="25">
        <v>1</v>
      </c>
      <c r="AF280" s="25">
        <v>0</v>
      </c>
      <c r="AG280" s="25">
        <v>0</v>
      </c>
      <c r="AH280" s="25">
        <v>1</v>
      </c>
      <c r="AI280" s="25">
        <v>1</v>
      </c>
    </row>
    <row r="281" spans="2:36" ht="15" hidden="1" thickBot="1"/>
    <row r="282" spans="2:36" s="22" customFormat="1" ht="15.6" hidden="1">
      <c r="B282" s="17" t="s">
        <v>280</v>
      </c>
      <c r="C282" s="18" t="s">
        <v>6</v>
      </c>
      <c r="D282" s="19">
        <v>31</v>
      </c>
      <c r="E282" s="19">
        <v>30</v>
      </c>
      <c r="F282" s="19">
        <v>29</v>
      </c>
      <c r="G282" s="19">
        <v>28</v>
      </c>
      <c r="H282" s="19">
        <v>27</v>
      </c>
      <c r="I282" s="19">
        <v>26</v>
      </c>
      <c r="J282" s="19">
        <v>25</v>
      </c>
      <c r="K282" s="19">
        <v>24</v>
      </c>
      <c r="L282" s="19">
        <v>23</v>
      </c>
      <c r="M282" s="19">
        <v>22</v>
      </c>
      <c r="N282" s="19">
        <v>21</v>
      </c>
      <c r="O282" s="19">
        <v>20</v>
      </c>
      <c r="P282" s="19">
        <v>19</v>
      </c>
      <c r="Q282" s="19">
        <v>18</v>
      </c>
      <c r="R282" s="19">
        <v>17</v>
      </c>
      <c r="S282" s="19">
        <v>16</v>
      </c>
      <c r="T282" s="19">
        <v>15</v>
      </c>
      <c r="U282" s="19">
        <v>14</v>
      </c>
      <c r="V282" s="19">
        <v>13</v>
      </c>
      <c r="W282" s="19">
        <v>12</v>
      </c>
      <c r="X282" s="19">
        <v>11</v>
      </c>
      <c r="Y282" s="19">
        <v>10</v>
      </c>
      <c r="Z282" s="19">
        <v>9</v>
      </c>
      <c r="AA282" s="19">
        <v>8</v>
      </c>
      <c r="AB282" s="19">
        <v>7</v>
      </c>
      <c r="AC282" s="19">
        <v>6</v>
      </c>
      <c r="AD282" s="19">
        <v>5</v>
      </c>
      <c r="AE282" s="19">
        <v>4</v>
      </c>
      <c r="AF282" s="19">
        <v>3</v>
      </c>
      <c r="AG282" s="19">
        <v>2</v>
      </c>
      <c r="AH282" s="19">
        <v>1</v>
      </c>
      <c r="AI282" s="20">
        <v>0</v>
      </c>
    </row>
    <row r="283" spans="2:36" s="22" customFormat="1" ht="15.75" hidden="1" customHeight="1">
      <c r="B283" s="111" t="s">
        <v>332</v>
      </c>
      <c r="C283" s="148"/>
      <c r="D283" s="122"/>
      <c r="E283" s="142" t="s">
        <v>156</v>
      </c>
      <c r="F283" s="143"/>
      <c r="G283" s="144"/>
      <c r="H283" s="122"/>
      <c r="I283" s="142" t="s">
        <v>155</v>
      </c>
      <c r="J283" s="143"/>
      <c r="K283" s="144"/>
      <c r="L283" s="122"/>
      <c r="M283" s="142" t="s">
        <v>154</v>
      </c>
      <c r="N283" s="143"/>
      <c r="O283" s="144"/>
      <c r="P283" s="122"/>
      <c r="Q283" s="142" t="s">
        <v>153</v>
      </c>
      <c r="R283" s="143"/>
      <c r="S283" s="144"/>
      <c r="T283" s="122"/>
      <c r="U283" s="142" t="s">
        <v>152</v>
      </c>
      <c r="V283" s="143"/>
      <c r="W283" s="144"/>
      <c r="X283" s="122"/>
      <c r="Y283" s="142" t="s">
        <v>151</v>
      </c>
      <c r="Z283" s="143"/>
      <c r="AA283" s="144"/>
      <c r="AB283" s="122"/>
      <c r="AC283" s="142" t="s">
        <v>150</v>
      </c>
      <c r="AD283" s="143"/>
      <c r="AE283" s="144"/>
      <c r="AF283" s="122"/>
      <c r="AG283" s="142" t="s">
        <v>149</v>
      </c>
      <c r="AH283" s="143"/>
      <c r="AI283" s="144"/>
      <c r="AJ283" s="21"/>
    </row>
    <row r="284" spans="2:36" s="22" customFormat="1" ht="15" hidden="1" customHeight="1">
      <c r="B284" s="112"/>
      <c r="C284" s="149"/>
      <c r="D284" s="123"/>
      <c r="E284" s="145"/>
      <c r="F284" s="146"/>
      <c r="G284" s="147"/>
      <c r="H284" s="123"/>
      <c r="I284" s="145"/>
      <c r="J284" s="146"/>
      <c r="K284" s="147"/>
      <c r="L284" s="123"/>
      <c r="M284" s="145"/>
      <c r="N284" s="146"/>
      <c r="O284" s="147"/>
      <c r="P284" s="123"/>
      <c r="Q284" s="145"/>
      <c r="R284" s="146"/>
      <c r="S284" s="147"/>
      <c r="T284" s="123"/>
      <c r="U284" s="145"/>
      <c r="V284" s="146"/>
      <c r="W284" s="147"/>
      <c r="X284" s="123"/>
      <c r="Y284" s="145"/>
      <c r="Z284" s="146"/>
      <c r="AA284" s="147"/>
      <c r="AB284" s="123"/>
      <c r="AC284" s="145"/>
      <c r="AD284" s="146"/>
      <c r="AE284" s="147"/>
      <c r="AF284" s="123"/>
      <c r="AG284" s="145"/>
      <c r="AH284" s="146"/>
      <c r="AI284" s="147"/>
      <c r="AJ284" s="21"/>
    </row>
    <row r="285" spans="2:36" s="22" customFormat="1" ht="15" hidden="1" thickBot="1">
      <c r="B285" s="23" t="s">
        <v>140</v>
      </c>
      <c r="C285" s="24" t="str">
        <f>BIN2HEX(D285&amp;E285&amp;F285&amp;G285)&amp;BIN2HEX(H285&amp;I285&amp;J285&amp;K285)&amp;BIN2HEX(L285&amp;M285&amp;N285&amp;O285)&amp;BIN2HEX(P285&amp;Q285&amp;R285&amp;S285)&amp;BIN2HEX(T285&amp;U285&amp;V285&amp;W285)&amp;BIN2HEX(X285&amp;Y285&amp;Z285&amp;AA285)&amp;BIN2HEX(AB285&amp;AC285&amp;AD285&amp;AE285)&amp;BIN2HEX(AF285&amp;AG285&amp;AH285&amp;AI285)</f>
        <v>33333333</v>
      </c>
      <c r="D285" s="25">
        <v>0</v>
      </c>
      <c r="E285" s="25">
        <v>0</v>
      </c>
      <c r="F285" s="25">
        <v>1</v>
      </c>
      <c r="G285" s="25">
        <v>1</v>
      </c>
      <c r="H285" s="25">
        <v>0</v>
      </c>
      <c r="I285" s="25">
        <v>0</v>
      </c>
      <c r="J285" s="25">
        <v>1</v>
      </c>
      <c r="K285" s="25">
        <v>1</v>
      </c>
      <c r="L285" s="25">
        <v>0</v>
      </c>
      <c r="M285" s="25">
        <v>0</v>
      </c>
      <c r="N285" s="25">
        <v>1</v>
      </c>
      <c r="O285" s="25">
        <v>1</v>
      </c>
      <c r="P285" s="25">
        <v>0</v>
      </c>
      <c r="Q285" s="25">
        <v>0</v>
      </c>
      <c r="R285" s="25">
        <v>1</v>
      </c>
      <c r="S285" s="25">
        <v>1</v>
      </c>
      <c r="T285" s="25">
        <v>0</v>
      </c>
      <c r="U285" s="25">
        <v>0</v>
      </c>
      <c r="V285" s="25">
        <v>1</v>
      </c>
      <c r="W285" s="25">
        <v>1</v>
      </c>
      <c r="X285" s="25">
        <v>0</v>
      </c>
      <c r="Y285" s="25">
        <v>0</v>
      </c>
      <c r="Z285" s="25">
        <v>1</v>
      </c>
      <c r="AA285" s="25">
        <v>1</v>
      </c>
      <c r="AB285" s="25">
        <v>0</v>
      </c>
      <c r="AC285" s="25">
        <v>0</v>
      </c>
      <c r="AD285" s="25">
        <v>1</v>
      </c>
      <c r="AE285" s="25">
        <v>1</v>
      </c>
      <c r="AF285" s="25">
        <v>0</v>
      </c>
      <c r="AG285" s="25">
        <v>0</v>
      </c>
      <c r="AH285" s="25">
        <v>1</v>
      </c>
      <c r="AI285" s="25">
        <v>1</v>
      </c>
    </row>
    <row r="286" spans="2:36" s="22" customFormat="1" ht="15" hidden="1" thickBot="1">
      <c r="B286" s="23" t="s">
        <v>157</v>
      </c>
      <c r="C286" s="24" t="str">
        <f>BIN2HEX(D286&amp;E286&amp;F286&amp;G286)&amp;BIN2HEX(H286&amp;I286&amp;J286&amp;K286)&amp;BIN2HEX(L286&amp;M286&amp;N286&amp;O286)&amp;BIN2HEX(P286&amp;Q286&amp;R286&amp;S286)&amp;BIN2HEX(T286&amp;U286&amp;V286&amp;W286)&amp;BIN2HEX(X286&amp;Y286&amp;Z286&amp;AA286)&amp;BIN2HEX(AB286&amp;AC286&amp;AD286&amp;AE286)&amp;BIN2HEX(AF286&amp;AG286&amp;AH286&amp;AI286)</f>
        <v>33333333</v>
      </c>
      <c r="D286" s="25">
        <v>0</v>
      </c>
      <c r="E286" s="25">
        <v>0</v>
      </c>
      <c r="F286" s="25">
        <v>1</v>
      </c>
      <c r="G286" s="25">
        <v>1</v>
      </c>
      <c r="H286" s="25">
        <v>0</v>
      </c>
      <c r="I286" s="25">
        <v>0</v>
      </c>
      <c r="J286" s="25">
        <v>1</v>
      </c>
      <c r="K286" s="25">
        <v>1</v>
      </c>
      <c r="L286" s="25">
        <v>0</v>
      </c>
      <c r="M286" s="25">
        <v>0</v>
      </c>
      <c r="N286" s="25">
        <v>1</v>
      </c>
      <c r="O286" s="25">
        <v>1</v>
      </c>
      <c r="P286" s="25">
        <v>0</v>
      </c>
      <c r="Q286" s="25">
        <v>0</v>
      </c>
      <c r="R286" s="25">
        <v>1</v>
      </c>
      <c r="S286" s="25">
        <v>1</v>
      </c>
      <c r="T286" s="25">
        <v>0</v>
      </c>
      <c r="U286" s="25">
        <v>0</v>
      </c>
      <c r="V286" s="25">
        <v>1</v>
      </c>
      <c r="W286" s="25">
        <v>1</v>
      </c>
      <c r="X286" s="25">
        <v>0</v>
      </c>
      <c r="Y286" s="25">
        <v>0</v>
      </c>
      <c r="Z286" s="25">
        <v>1</v>
      </c>
      <c r="AA286" s="25">
        <v>1</v>
      </c>
      <c r="AB286" s="25">
        <v>0</v>
      </c>
      <c r="AC286" s="25">
        <v>0</v>
      </c>
      <c r="AD286" s="25">
        <v>1</v>
      </c>
      <c r="AE286" s="25">
        <v>1</v>
      </c>
      <c r="AF286" s="25">
        <v>0</v>
      </c>
      <c r="AG286" s="25">
        <v>0</v>
      </c>
      <c r="AH286" s="25">
        <v>1</v>
      </c>
      <c r="AI286" s="25">
        <v>1</v>
      </c>
    </row>
    <row r="287" spans="2:36" ht="15" hidden="1" thickBot="1"/>
    <row r="288" spans="2:36" s="22" customFormat="1" ht="15.6" hidden="1">
      <c r="B288" s="17" t="s">
        <v>280</v>
      </c>
      <c r="C288" s="18" t="s">
        <v>6</v>
      </c>
      <c r="D288" s="19">
        <v>31</v>
      </c>
      <c r="E288" s="19">
        <v>30</v>
      </c>
      <c r="F288" s="19">
        <v>29</v>
      </c>
      <c r="G288" s="19">
        <v>28</v>
      </c>
      <c r="H288" s="19">
        <v>27</v>
      </c>
      <c r="I288" s="19">
        <v>26</v>
      </c>
      <c r="J288" s="19">
        <v>25</v>
      </c>
      <c r="K288" s="19">
        <v>24</v>
      </c>
      <c r="L288" s="19">
        <v>23</v>
      </c>
      <c r="M288" s="19">
        <v>22</v>
      </c>
      <c r="N288" s="19">
        <v>21</v>
      </c>
      <c r="O288" s="19">
        <v>20</v>
      </c>
      <c r="P288" s="19">
        <v>19</v>
      </c>
      <c r="Q288" s="19">
        <v>18</v>
      </c>
      <c r="R288" s="19">
        <v>17</v>
      </c>
      <c r="S288" s="19">
        <v>16</v>
      </c>
      <c r="T288" s="19">
        <v>15</v>
      </c>
      <c r="U288" s="19">
        <v>14</v>
      </c>
      <c r="V288" s="19">
        <v>13</v>
      </c>
      <c r="W288" s="19">
        <v>12</v>
      </c>
      <c r="X288" s="19">
        <v>11</v>
      </c>
      <c r="Y288" s="19">
        <v>10</v>
      </c>
      <c r="Z288" s="19">
        <v>9</v>
      </c>
      <c r="AA288" s="19">
        <v>8</v>
      </c>
      <c r="AB288" s="19">
        <v>7</v>
      </c>
      <c r="AC288" s="19">
        <v>6</v>
      </c>
      <c r="AD288" s="19">
        <v>5</v>
      </c>
      <c r="AE288" s="19">
        <v>4</v>
      </c>
      <c r="AF288" s="19">
        <v>3</v>
      </c>
      <c r="AG288" s="19">
        <v>2</v>
      </c>
      <c r="AH288" s="19">
        <v>1</v>
      </c>
      <c r="AI288" s="20">
        <v>0</v>
      </c>
    </row>
    <row r="289" spans="2:36" s="22" customFormat="1" ht="15.75" hidden="1" customHeight="1">
      <c r="B289" s="111" t="s">
        <v>333</v>
      </c>
      <c r="C289" s="124"/>
      <c r="D289" s="122"/>
      <c r="E289" s="120" t="s">
        <v>162</v>
      </c>
      <c r="F289" s="120"/>
      <c r="G289" s="120"/>
      <c r="H289" s="120" t="s">
        <v>163</v>
      </c>
      <c r="I289" s="120"/>
      <c r="J289" s="120"/>
      <c r="K289" s="120" t="s">
        <v>164</v>
      </c>
      <c r="L289" s="120"/>
      <c r="M289" s="120"/>
      <c r="N289" s="120" t="s">
        <v>165</v>
      </c>
      <c r="O289" s="120"/>
      <c r="P289" s="120"/>
      <c r="Q289" s="120" t="s">
        <v>166</v>
      </c>
      <c r="R289" s="120"/>
      <c r="S289" s="120"/>
      <c r="T289" s="122"/>
      <c r="U289" s="120" t="s">
        <v>167</v>
      </c>
      <c r="V289" s="120"/>
      <c r="W289" s="120"/>
      <c r="X289" s="120" t="s">
        <v>168</v>
      </c>
      <c r="Y289" s="120"/>
      <c r="Z289" s="120"/>
      <c r="AA289" s="120" t="s">
        <v>169</v>
      </c>
      <c r="AB289" s="120"/>
      <c r="AC289" s="120"/>
      <c r="AD289" s="120" t="s">
        <v>170</v>
      </c>
      <c r="AE289" s="120"/>
      <c r="AF289" s="120"/>
      <c r="AG289" s="120" t="s">
        <v>171</v>
      </c>
      <c r="AH289" s="120"/>
      <c r="AI289" s="120"/>
      <c r="AJ289" s="21"/>
    </row>
    <row r="290" spans="2:36" s="22" customFormat="1" ht="15" hidden="1" customHeight="1">
      <c r="B290" s="112"/>
      <c r="C290" s="124"/>
      <c r="D290" s="123"/>
      <c r="E290" s="121"/>
      <c r="F290" s="121"/>
      <c r="G290" s="121"/>
      <c r="H290" s="121"/>
      <c r="I290" s="121"/>
      <c r="J290" s="121"/>
      <c r="K290" s="121"/>
      <c r="L290" s="121"/>
      <c r="M290" s="121"/>
      <c r="N290" s="121"/>
      <c r="O290" s="121"/>
      <c r="P290" s="121"/>
      <c r="Q290" s="121"/>
      <c r="R290" s="121"/>
      <c r="S290" s="121"/>
      <c r="T290" s="123"/>
      <c r="U290" s="121"/>
      <c r="V290" s="121"/>
      <c r="W290" s="121"/>
      <c r="X290" s="121"/>
      <c r="Y290" s="121"/>
      <c r="Z290" s="121"/>
      <c r="AA290" s="121"/>
      <c r="AB290" s="121"/>
      <c r="AC290" s="121"/>
      <c r="AD290" s="121"/>
      <c r="AE290" s="121"/>
      <c r="AF290" s="121"/>
      <c r="AG290" s="121"/>
      <c r="AH290" s="121"/>
      <c r="AI290" s="121"/>
      <c r="AJ290" s="21"/>
    </row>
    <row r="291" spans="2:36" s="22" customFormat="1" ht="15" hidden="1" thickBot="1">
      <c r="B291" s="23" t="s">
        <v>161</v>
      </c>
      <c r="C291" s="24" t="str">
        <f>BIN2HEX(D291&amp;E291&amp;F291&amp;G291)&amp;BIN2HEX(H291&amp;I291&amp;J291&amp;K291)&amp;BIN2HEX(L291&amp;M291&amp;N291&amp;O291)&amp;BIN2HEX(P291&amp;Q291&amp;R291&amp;S291)&amp;BIN2HEX(T291&amp;U291&amp;V291&amp;W291)&amp;BIN2HEX(X291&amp;Y291&amp;Z291&amp;AA291)&amp;BIN2HEX(AB291&amp;AC291&amp;AD291&amp;AE291)&amp;BIN2HEX(AF291&amp;AG291&amp;AH291&amp;AI291)</f>
        <v>24911492</v>
      </c>
      <c r="D291" s="25">
        <v>0</v>
      </c>
      <c r="E291" s="25">
        <v>0</v>
      </c>
      <c r="F291" s="25">
        <v>1</v>
      </c>
      <c r="G291" s="25">
        <v>0</v>
      </c>
      <c r="H291" s="25">
        <v>0</v>
      </c>
      <c r="I291" s="25">
        <v>1</v>
      </c>
      <c r="J291" s="25">
        <v>0</v>
      </c>
      <c r="K291" s="25">
        <v>0</v>
      </c>
      <c r="L291" s="25">
        <v>1</v>
      </c>
      <c r="M291" s="25">
        <v>0</v>
      </c>
      <c r="N291" s="25">
        <v>0</v>
      </c>
      <c r="O291" s="25">
        <v>1</v>
      </c>
      <c r="P291" s="25">
        <v>0</v>
      </c>
      <c r="Q291" s="25">
        <v>0</v>
      </c>
      <c r="R291" s="25">
        <v>0</v>
      </c>
      <c r="S291" s="25">
        <v>1</v>
      </c>
      <c r="T291" s="25">
        <v>0</v>
      </c>
      <c r="U291" s="25">
        <v>0</v>
      </c>
      <c r="V291" s="25">
        <v>0</v>
      </c>
      <c r="W291" s="25">
        <v>1</v>
      </c>
      <c r="X291" s="25">
        <v>0</v>
      </c>
      <c r="Y291" s="25">
        <v>1</v>
      </c>
      <c r="Z291" s="25">
        <v>0</v>
      </c>
      <c r="AA291" s="25">
        <v>0</v>
      </c>
      <c r="AB291" s="25">
        <v>1</v>
      </c>
      <c r="AC291" s="25">
        <v>0</v>
      </c>
      <c r="AD291" s="25">
        <v>0</v>
      </c>
      <c r="AE291" s="25">
        <v>1</v>
      </c>
      <c r="AF291" s="34">
        <v>0</v>
      </c>
      <c r="AG291" s="34">
        <v>0</v>
      </c>
      <c r="AH291" s="25">
        <v>1</v>
      </c>
      <c r="AI291" s="26">
        <v>0</v>
      </c>
    </row>
    <row r="292" spans="2:36" ht="15" hidden="1" thickBot="1">
      <c r="B292" s="23" t="s">
        <v>172</v>
      </c>
      <c r="C292" s="24" t="str">
        <f>BIN2HEX(D292&amp;E292&amp;F292&amp;G292)&amp;BIN2HEX(H292&amp;I292&amp;J292&amp;K292)&amp;BIN2HEX(L292&amp;M292&amp;N292&amp;O292)&amp;BIN2HEX(P292&amp;Q292&amp;R292&amp;S292)&amp;BIN2HEX(T292&amp;U292&amp;V292&amp;W292)&amp;BIN2HEX(X292&amp;Y292&amp;Z292&amp;AA292)&amp;BIN2HEX(AB292&amp;AC292&amp;AD292&amp;AE292)&amp;BIN2HEX(AF292&amp;AG292&amp;AH292&amp;AI292)</f>
        <v>24911492</v>
      </c>
      <c r="D292" s="25">
        <v>0</v>
      </c>
      <c r="E292" s="25">
        <v>0</v>
      </c>
      <c r="F292" s="25">
        <v>1</v>
      </c>
      <c r="G292" s="25">
        <v>0</v>
      </c>
      <c r="H292" s="25">
        <v>0</v>
      </c>
      <c r="I292" s="25">
        <v>1</v>
      </c>
      <c r="J292" s="25">
        <v>0</v>
      </c>
      <c r="K292" s="25">
        <v>0</v>
      </c>
      <c r="L292" s="25">
        <v>1</v>
      </c>
      <c r="M292" s="25">
        <v>0</v>
      </c>
      <c r="N292" s="25">
        <v>0</v>
      </c>
      <c r="O292" s="25">
        <v>1</v>
      </c>
      <c r="P292" s="25">
        <v>0</v>
      </c>
      <c r="Q292" s="25">
        <v>0</v>
      </c>
      <c r="R292" s="25">
        <v>0</v>
      </c>
      <c r="S292" s="25">
        <v>1</v>
      </c>
      <c r="T292" s="25">
        <v>0</v>
      </c>
      <c r="U292" s="25">
        <v>0</v>
      </c>
      <c r="V292" s="25">
        <v>0</v>
      </c>
      <c r="W292" s="25">
        <v>1</v>
      </c>
      <c r="X292" s="25">
        <v>0</v>
      </c>
      <c r="Y292" s="25">
        <v>1</v>
      </c>
      <c r="Z292" s="25">
        <v>0</v>
      </c>
      <c r="AA292" s="25">
        <v>0</v>
      </c>
      <c r="AB292" s="25">
        <v>1</v>
      </c>
      <c r="AC292" s="25">
        <v>0</v>
      </c>
      <c r="AD292" s="25">
        <v>0</v>
      </c>
      <c r="AE292" s="25">
        <v>1</v>
      </c>
      <c r="AF292" s="37">
        <v>0</v>
      </c>
      <c r="AG292" s="37">
        <v>0</v>
      </c>
      <c r="AH292" s="25">
        <v>1</v>
      </c>
      <c r="AI292" s="26">
        <v>0</v>
      </c>
    </row>
    <row r="293" spans="2:36" ht="15" hidden="1" thickBot="1"/>
    <row r="294" spans="2:36" s="22" customFormat="1" ht="15.6" hidden="1">
      <c r="B294" s="17" t="s">
        <v>280</v>
      </c>
      <c r="C294" s="18" t="s">
        <v>6</v>
      </c>
      <c r="D294" s="19">
        <v>31</v>
      </c>
      <c r="E294" s="19">
        <v>30</v>
      </c>
      <c r="F294" s="19">
        <v>29</v>
      </c>
      <c r="G294" s="19">
        <v>28</v>
      </c>
      <c r="H294" s="19">
        <v>27</v>
      </c>
      <c r="I294" s="19">
        <v>26</v>
      </c>
      <c r="J294" s="19">
        <v>25</v>
      </c>
      <c r="K294" s="19">
        <v>24</v>
      </c>
      <c r="L294" s="19">
        <v>23</v>
      </c>
      <c r="M294" s="19">
        <v>22</v>
      </c>
      <c r="N294" s="19">
        <v>21</v>
      </c>
      <c r="O294" s="19">
        <v>20</v>
      </c>
      <c r="P294" s="19">
        <v>19</v>
      </c>
      <c r="Q294" s="19">
        <v>18</v>
      </c>
      <c r="R294" s="19">
        <v>17</v>
      </c>
      <c r="S294" s="19">
        <v>16</v>
      </c>
      <c r="T294" s="19">
        <v>15</v>
      </c>
      <c r="U294" s="19">
        <v>14</v>
      </c>
      <c r="V294" s="19">
        <v>13</v>
      </c>
      <c r="W294" s="19">
        <v>12</v>
      </c>
      <c r="X294" s="19">
        <v>11</v>
      </c>
      <c r="Y294" s="19">
        <v>10</v>
      </c>
      <c r="Z294" s="19">
        <v>9</v>
      </c>
      <c r="AA294" s="19">
        <v>8</v>
      </c>
      <c r="AB294" s="19">
        <v>7</v>
      </c>
      <c r="AC294" s="19">
        <v>6</v>
      </c>
      <c r="AD294" s="19">
        <v>5</v>
      </c>
      <c r="AE294" s="19">
        <v>4</v>
      </c>
      <c r="AF294" s="19">
        <v>3</v>
      </c>
      <c r="AG294" s="19">
        <v>2</v>
      </c>
      <c r="AH294" s="19">
        <v>1</v>
      </c>
      <c r="AI294" s="20">
        <v>0</v>
      </c>
    </row>
    <row r="295" spans="2:36" s="22" customFormat="1" ht="15.75" hidden="1" customHeight="1">
      <c r="B295" s="111" t="s">
        <v>334</v>
      </c>
      <c r="C295" s="124"/>
      <c r="D295" s="122"/>
      <c r="E295" s="122"/>
      <c r="F295" s="122"/>
      <c r="G295" s="122"/>
      <c r="H295" s="122"/>
      <c r="I295" s="122"/>
      <c r="J295" s="122"/>
      <c r="K295" s="122"/>
      <c r="L295" s="122"/>
      <c r="M295" s="122"/>
      <c r="N295" s="122"/>
      <c r="O295" s="122"/>
      <c r="P295" s="122"/>
      <c r="Q295" s="122"/>
      <c r="R295" s="122"/>
      <c r="S295" s="122"/>
      <c r="T295" s="122"/>
      <c r="U295" s="122"/>
      <c r="V295" s="122"/>
      <c r="W295" s="122"/>
      <c r="X295" s="120" t="s">
        <v>174</v>
      </c>
      <c r="Y295" s="120" t="s">
        <v>175</v>
      </c>
      <c r="Z295" s="120" t="s">
        <v>176</v>
      </c>
      <c r="AA295" s="120"/>
      <c r="AB295" s="120"/>
      <c r="AC295" s="120"/>
      <c r="AD295" s="120"/>
      <c r="AE295" s="120"/>
      <c r="AF295" s="120"/>
      <c r="AG295" s="120"/>
      <c r="AH295" s="120"/>
      <c r="AI295" s="120"/>
      <c r="AJ295" s="21"/>
    </row>
    <row r="296" spans="2:36" s="22" customFormat="1" ht="15" hidden="1" customHeight="1">
      <c r="B296" s="112"/>
      <c r="C296" s="124"/>
      <c r="D296" s="123"/>
      <c r="E296" s="123"/>
      <c r="F296" s="123"/>
      <c r="G296" s="123"/>
      <c r="H296" s="123"/>
      <c r="I296" s="123"/>
      <c r="J296" s="123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23"/>
      <c r="V296" s="123"/>
      <c r="W296" s="123"/>
      <c r="X296" s="121"/>
      <c r="Y296" s="121"/>
      <c r="Z296" s="121"/>
      <c r="AA296" s="121"/>
      <c r="AB296" s="121"/>
      <c r="AC296" s="121"/>
      <c r="AD296" s="121"/>
      <c r="AE296" s="121"/>
      <c r="AF296" s="121"/>
      <c r="AG296" s="121"/>
      <c r="AH296" s="121"/>
      <c r="AI296" s="121"/>
      <c r="AJ296" s="21"/>
    </row>
    <row r="297" spans="2:36" s="22" customFormat="1" ht="15" hidden="1" thickBot="1">
      <c r="B297" s="23" t="s">
        <v>173</v>
      </c>
      <c r="C297" s="24" t="str">
        <f>BIN2HEX(D297&amp;E297&amp;F297&amp;G297)&amp;BIN2HEX(H297&amp;I297&amp;J297&amp;K297)&amp;BIN2HEX(L297&amp;M297&amp;N297&amp;O297)&amp;BIN2HEX(P297&amp;Q297&amp;R297&amp;S297)&amp;BIN2HEX(T297&amp;U297&amp;V297&amp;W297)&amp;BIN2HEX(X297&amp;Y297&amp;Z297&amp;AA297)&amp;BIN2HEX(AB297&amp;AC297&amp;AD297&amp;AE297)&amp;BIN2HEX(AF297&amp;AG297&amp;AH297&amp;AI297)</f>
        <v>00000800</v>
      </c>
      <c r="D297" s="25">
        <v>0</v>
      </c>
      <c r="E297" s="25">
        <v>0</v>
      </c>
      <c r="F297" s="25">
        <v>0</v>
      </c>
      <c r="G297" s="25">
        <v>0</v>
      </c>
      <c r="H297" s="25">
        <v>0</v>
      </c>
      <c r="I297" s="25">
        <v>0</v>
      </c>
      <c r="J297" s="25">
        <v>0</v>
      </c>
      <c r="K297" s="25">
        <v>0</v>
      </c>
      <c r="L297" s="25">
        <v>0</v>
      </c>
      <c r="M297" s="25">
        <v>0</v>
      </c>
      <c r="N297" s="25">
        <v>0</v>
      </c>
      <c r="O297" s="25">
        <v>0</v>
      </c>
      <c r="P297" s="25">
        <v>0</v>
      </c>
      <c r="Q297" s="25">
        <v>0</v>
      </c>
      <c r="R297" s="25">
        <v>0</v>
      </c>
      <c r="S297" s="25">
        <v>0</v>
      </c>
      <c r="T297" s="25">
        <v>0</v>
      </c>
      <c r="U297" s="25">
        <v>0</v>
      </c>
      <c r="V297" s="25">
        <v>0</v>
      </c>
      <c r="W297" s="25">
        <v>0</v>
      </c>
      <c r="X297" s="25">
        <v>1</v>
      </c>
      <c r="Y297" s="25">
        <v>0</v>
      </c>
      <c r="Z297" s="25">
        <v>0</v>
      </c>
      <c r="AA297" s="25">
        <v>0</v>
      </c>
      <c r="AB297" s="25">
        <v>0</v>
      </c>
      <c r="AC297" s="25">
        <v>0</v>
      </c>
      <c r="AD297" s="25">
        <v>0</v>
      </c>
      <c r="AE297" s="25">
        <v>0</v>
      </c>
      <c r="AF297" s="25">
        <v>0</v>
      </c>
      <c r="AG297" s="34">
        <v>0</v>
      </c>
      <c r="AH297" s="34">
        <v>0</v>
      </c>
      <c r="AI297" s="26">
        <v>0</v>
      </c>
    </row>
    <row r="298" spans="2:36" ht="15" hidden="1" thickBot="1">
      <c r="B298" s="23" t="s">
        <v>177</v>
      </c>
      <c r="C298" s="24" t="str">
        <f>BIN2HEX(D298&amp;E298&amp;F298&amp;G298)&amp;BIN2HEX(H298&amp;I298&amp;J298&amp;K298)&amp;BIN2HEX(L298&amp;M298&amp;N298&amp;O298)&amp;BIN2HEX(P298&amp;Q298&amp;R298&amp;S298)&amp;BIN2HEX(T298&amp;U298&amp;V298&amp;W298)&amp;BIN2HEX(X298&amp;Y298&amp;Z298&amp;AA298)&amp;BIN2HEX(AB298&amp;AC298&amp;AD298&amp;AE298)&amp;BIN2HEX(AF298&amp;AG298&amp;AH298&amp;AI298)</f>
        <v>00000800</v>
      </c>
      <c r="D298" s="25">
        <v>0</v>
      </c>
      <c r="E298" s="25">
        <v>0</v>
      </c>
      <c r="F298" s="25">
        <v>0</v>
      </c>
      <c r="G298" s="25">
        <v>0</v>
      </c>
      <c r="H298" s="25">
        <v>0</v>
      </c>
      <c r="I298" s="25">
        <v>0</v>
      </c>
      <c r="J298" s="25">
        <v>0</v>
      </c>
      <c r="K298" s="25">
        <v>0</v>
      </c>
      <c r="L298" s="25">
        <v>0</v>
      </c>
      <c r="M298" s="25">
        <v>0</v>
      </c>
      <c r="N298" s="25">
        <v>0</v>
      </c>
      <c r="O298" s="25">
        <v>0</v>
      </c>
      <c r="P298" s="25">
        <v>0</v>
      </c>
      <c r="Q298" s="25">
        <v>0</v>
      </c>
      <c r="R298" s="25">
        <v>0</v>
      </c>
      <c r="S298" s="25">
        <v>0</v>
      </c>
      <c r="T298" s="25">
        <v>0</v>
      </c>
      <c r="U298" s="25">
        <v>0</v>
      </c>
      <c r="V298" s="25">
        <v>0</v>
      </c>
      <c r="W298" s="25">
        <v>0</v>
      </c>
      <c r="X298" s="25">
        <v>1</v>
      </c>
      <c r="Y298" s="25">
        <v>0</v>
      </c>
      <c r="Z298" s="25">
        <v>0</v>
      </c>
      <c r="AA298" s="25">
        <v>0</v>
      </c>
      <c r="AB298" s="25">
        <v>0</v>
      </c>
      <c r="AC298" s="25">
        <v>0</v>
      </c>
      <c r="AD298" s="25">
        <v>0</v>
      </c>
      <c r="AE298" s="25">
        <v>0</v>
      </c>
      <c r="AF298" s="25">
        <v>0</v>
      </c>
      <c r="AG298" s="37">
        <v>0</v>
      </c>
      <c r="AH298" s="37">
        <v>0</v>
      </c>
      <c r="AI298" s="26">
        <v>0</v>
      </c>
    </row>
    <row r="299" spans="2:36" ht="15" hidden="1" thickBot="1"/>
    <row r="300" spans="2:36" s="22" customFormat="1" ht="15.6" hidden="1">
      <c r="B300" s="17" t="s">
        <v>280</v>
      </c>
      <c r="C300" s="18" t="s">
        <v>6</v>
      </c>
      <c r="D300" s="19">
        <v>31</v>
      </c>
      <c r="E300" s="19">
        <v>30</v>
      </c>
      <c r="F300" s="19">
        <v>29</v>
      </c>
      <c r="G300" s="19">
        <v>28</v>
      </c>
      <c r="H300" s="19">
        <v>27</v>
      </c>
      <c r="I300" s="19">
        <v>26</v>
      </c>
      <c r="J300" s="19">
        <v>25</v>
      </c>
      <c r="K300" s="19">
        <v>24</v>
      </c>
      <c r="L300" s="19">
        <v>23</v>
      </c>
      <c r="M300" s="19">
        <v>22</v>
      </c>
      <c r="N300" s="19">
        <v>21</v>
      </c>
      <c r="O300" s="19">
        <v>20</v>
      </c>
      <c r="P300" s="19">
        <v>19</v>
      </c>
      <c r="Q300" s="19">
        <v>18</v>
      </c>
      <c r="R300" s="19">
        <v>17</v>
      </c>
      <c r="S300" s="19">
        <v>16</v>
      </c>
      <c r="T300" s="19">
        <v>15</v>
      </c>
      <c r="U300" s="19">
        <v>14</v>
      </c>
      <c r="V300" s="19">
        <v>13</v>
      </c>
      <c r="W300" s="19">
        <v>12</v>
      </c>
      <c r="X300" s="19">
        <v>11</v>
      </c>
      <c r="Y300" s="19">
        <v>10</v>
      </c>
      <c r="Z300" s="19">
        <v>9</v>
      </c>
      <c r="AA300" s="19">
        <v>8</v>
      </c>
      <c r="AB300" s="19">
        <v>7</v>
      </c>
      <c r="AC300" s="19">
        <v>6</v>
      </c>
      <c r="AD300" s="19">
        <v>5</v>
      </c>
      <c r="AE300" s="19">
        <v>4</v>
      </c>
      <c r="AF300" s="19">
        <v>3</v>
      </c>
      <c r="AG300" s="19">
        <v>2</v>
      </c>
      <c r="AH300" s="19">
        <v>1</v>
      </c>
      <c r="AI300" s="20">
        <v>0</v>
      </c>
    </row>
    <row r="301" spans="2:36" s="22" customFormat="1" ht="15.75" hidden="1" customHeight="1">
      <c r="B301" s="111" t="s">
        <v>335</v>
      </c>
      <c r="C301" s="124"/>
      <c r="D301" s="122"/>
      <c r="E301" s="120" t="s">
        <v>179</v>
      </c>
      <c r="F301" s="120"/>
      <c r="G301" s="120"/>
      <c r="H301" s="122"/>
      <c r="I301" s="120" t="s">
        <v>180</v>
      </c>
      <c r="J301" s="120"/>
      <c r="K301" s="120"/>
      <c r="L301" s="122"/>
      <c r="M301" s="122"/>
      <c r="N301" s="122"/>
      <c r="O301" s="122"/>
      <c r="P301" s="122"/>
      <c r="Q301" s="120" t="s">
        <v>181</v>
      </c>
      <c r="R301" s="120"/>
      <c r="S301" s="120"/>
      <c r="T301" s="120" t="s">
        <v>182</v>
      </c>
      <c r="U301" s="120"/>
      <c r="V301" s="120"/>
      <c r="W301" s="120"/>
      <c r="X301" s="120" t="s">
        <v>183</v>
      </c>
      <c r="Y301" s="120"/>
      <c r="Z301" s="120"/>
      <c r="AA301" s="120"/>
      <c r="AB301" s="120" t="s">
        <v>184</v>
      </c>
      <c r="AC301" s="120" t="s">
        <v>185</v>
      </c>
      <c r="AD301" s="120" t="s">
        <v>186</v>
      </c>
      <c r="AE301" s="120"/>
      <c r="AF301" s="120"/>
      <c r="AG301" s="120" t="s">
        <v>187</v>
      </c>
      <c r="AH301" s="120"/>
      <c r="AI301" s="120"/>
      <c r="AJ301" s="21"/>
    </row>
    <row r="302" spans="2:36" s="22" customFormat="1" ht="15" hidden="1" customHeight="1">
      <c r="B302" s="112"/>
      <c r="C302" s="124"/>
      <c r="D302" s="123"/>
      <c r="E302" s="121"/>
      <c r="F302" s="121"/>
      <c r="G302" s="121"/>
      <c r="H302" s="123"/>
      <c r="I302" s="121"/>
      <c r="J302" s="121"/>
      <c r="K302" s="121"/>
      <c r="L302" s="123"/>
      <c r="M302" s="123"/>
      <c r="N302" s="123"/>
      <c r="O302" s="123"/>
      <c r="P302" s="123"/>
      <c r="Q302" s="121"/>
      <c r="R302" s="121"/>
      <c r="S302" s="121"/>
      <c r="T302" s="121"/>
      <c r="U302" s="121"/>
      <c r="V302" s="121"/>
      <c r="W302" s="121"/>
      <c r="X302" s="121"/>
      <c r="Y302" s="121"/>
      <c r="Z302" s="121"/>
      <c r="AA302" s="121"/>
      <c r="AB302" s="121"/>
      <c r="AC302" s="121"/>
      <c r="AD302" s="121"/>
      <c r="AE302" s="121"/>
      <c r="AF302" s="121"/>
      <c r="AG302" s="121"/>
      <c r="AH302" s="121"/>
      <c r="AI302" s="121"/>
      <c r="AJ302" s="21"/>
    </row>
    <row r="303" spans="2:36" s="22" customFormat="1" ht="15" hidden="1" thickBot="1">
      <c r="B303" s="23" t="s">
        <v>178</v>
      </c>
      <c r="C303" s="24" t="str">
        <f>BIN2HEX(D303&amp;E303&amp;F303&amp;G303)&amp;BIN2HEX(H303&amp;I303&amp;J303&amp;K303)&amp;BIN2HEX(L303&amp;M303&amp;N303&amp;O303)&amp;BIN2HEX(P303&amp;Q303&amp;R303&amp;S303)&amp;BIN2HEX(T303&amp;U303&amp;V303&amp;W303)&amp;BIN2HEX(X303&amp;Y303&amp;Z303&amp;AA303)&amp;BIN2HEX(AB303&amp;AC303&amp;AD303&amp;AE303)&amp;BIN2HEX(AF303&amp;AG303&amp;AH303&amp;AI303)</f>
        <v>00020036</v>
      </c>
      <c r="D303" s="25">
        <v>0</v>
      </c>
      <c r="E303" s="25">
        <v>0</v>
      </c>
      <c r="F303" s="25">
        <v>0</v>
      </c>
      <c r="G303" s="25">
        <v>0</v>
      </c>
      <c r="H303" s="25">
        <v>0</v>
      </c>
      <c r="I303" s="25">
        <v>0</v>
      </c>
      <c r="J303" s="25">
        <v>0</v>
      </c>
      <c r="K303" s="25">
        <v>0</v>
      </c>
      <c r="L303" s="25">
        <v>0</v>
      </c>
      <c r="M303" s="25">
        <v>0</v>
      </c>
      <c r="N303" s="25">
        <v>0</v>
      </c>
      <c r="O303" s="25">
        <v>0</v>
      </c>
      <c r="P303" s="25">
        <v>0</v>
      </c>
      <c r="Q303" s="29">
        <f>IF(D5=1600,MOD(ROUNDDOWN((ROUNDUP(MAX(3*C24,5)/C24,0)-1)/4,0),2),IF(D5=800,MOD(ROUNDDOWN((ROUNDUP(MAX(3*C24,7.5)/C24,0)-1)/4,0),2),MOD(ROUNDDOWN((ROUNDUP(MAX(3*C24,5.625)/C24,0)-1)/4,0),2)))</f>
        <v>0</v>
      </c>
      <c r="R303" s="29">
        <f>IF(D5=1600,MOD(ROUNDDOWN((ROUNDUP(MAX(3*C24,5)/C24,0)-1)/2,0),2),IF(D5=800,MOD(ROUNDDOWN((ROUNDUP(MAX(3*C24,7.5)/C24,0)-1)/2,0),2),MOD(ROUNDDOWN((ROUNDUP(MAX(3*C24,5.625)/C24,0)-1)/2,0),2)))</f>
        <v>1</v>
      </c>
      <c r="S303" s="29">
        <f>IF(D5=1600,MOD((ROUNDUP(MAX(3*C24,5)/C24,0)-1),2),IF(D5=800,MOD((ROUNDUP(MAX(3*C24,7.5)/C24,0)-1),2),MOD((ROUNDUP(MAX(3*C24,5.625)/C24,0)-1),2)))</f>
        <v>0</v>
      </c>
      <c r="T303" s="25">
        <v>0</v>
      </c>
      <c r="U303" s="25">
        <v>0</v>
      </c>
      <c r="V303" s="25">
        <v>0</v>
      </c>
      <c r="W303" s="25">
        <v>0</v>
      </c>
      <c r="X303" s="25">
        <v>0</v>
      </c>
      <c r="Y303" s="25">
        <v>0</v>
      </c>
      <c r="Z303" s="25">
        <v>0</v>
      </c>
      <c r="AA303" s="25">
        <v>0</v>
      </c>
      <c r="AB303" s="25">
        <v>0</v>
      </c>
      <c r="AC303" s="25">
        <v>0</v>
      </c>
      <c r="AD303" s="29" t="str">
        <f>LEFT(RIGHT(DEC2BIN(ROUNDUP(MAX(5*C24,10)/C24,0)),3))</f>
        <v>1</v>
      </c>
      <c r="AE303" s="29" t="str">
        <f>LEFT(RIGHT(DEC2BIN(ROUNDUP(MAX(5*C24,10)/C24,0)),2))</f>
        <v>1</v>
      </c>
      <c r="AF303" s="29" t="str">
        <f>RIGHT(DEC2BIN(ROUNDUP(MAX(5*C24,10)/C24,0)),1)</f>
        <v>0</v>
      </c>
      <c r="AG303" s="29" t="str">
        <f>LEFT(RIGHT(DEC2BIN(ROUNDUP(MAX(5*C24,10)/C24,0)),3))</f>
        <v>1</v>
      </c>
      <c r="AH303" s="29" t="str">
        <f>LEFT(RIGHT(DEC2BIN(ROUNDUP(MAX(5*C24,10)/C24,0)),2))</f>
        <v>1</v>
      </c>
      <c r="AI303" s="29" t="str">
        <f>RIGHT(DEC2BIN(ROUNDUP(MAX(5*C24,10)/C24,0)),1)</f>
        <v>0</v>
      </c>
    </row>
    <row r="304" spans="2:36" ht="15" hidden="1" thickBot="1"/>
    <row r="305" spans="2:36" s="22" customFormat="1" ht="15.6" hidden="1">
      <c r="B305" s="17" t="s">
        <v>280</v>
      </c>
      <c r="C305" s="18" t="s">
        <v>6</v>
      </c>
      <c r="D305" s="19">
        <v>31</v>
      </c>
      <c r="E305" s="19">
        <v>30</v>
      </c>
      <c r="F305" s="19">
        <v>29</v>
      </c>
      <c r="G305" s="19">
        <v>28</v>
      </c>
      <c r="H305" s="19">
        <v>27</v>
      </c>
      <c r="I305" s="19">
        <v>26</v>
      </c>
      <c r="J305" s="19">
        <v>25</v>
      </c>
      <c r="K305" s="19">
        <v>24</v>
      </c>
      <c r="L305" s="19">
        <v>23</v>
      </c>
      <c r="M305" s="19">
        <v>22</v>
      </c>
      <c r="N305" s="19">
        <v>21</v>
      </c>
      <c r="O305" s="19">
        <v>20</v>
      </c>
      <c r="P305" s="19">
        <v>19</v>
      </c>
      <c r="Q305" s="19">
        <v>18</v>
      </c>
      <c r="R305" s="19">
        <v>17</v>
      </c>
      <c r="S305" s="19">
        <v>16</v>
      </c>
      <c r="T305" s="19">
        <v>15</v>
      </c>
      <c r="U305" s="19">
        <v>14</v>
      </c>
      <c r="V305" s="19">
        <v>13</v>
      </c>
      <c r="W305" s="19">
        <v>12</v>
      </c>
      <c r="X305" s="19">
        <v>11</v>
      </c>
      <c r="Y305" s="19">
        <v>10</v>
      </c>
      <c r="Z305" s="19">
        <v>9</v>
      </c>
      <c r="AA305" s="19">
        <v>8</v>
      </c>
      <c r="AB305" s="19">
        <v>7</v>
      </c>
      <c r="AC305" s="19">
        <v>6</v>
      </c>
      <c r="AD305" s="19">
        <v>5</v>
      </c>
      <c r="AE305" s="19">
        <v>4</v>
      </c>
      <c r="AF305" s="19">
        <v>3</v>
      </c>
      <c r="AG305" s="19">
        <v>2</v>
      </c>
      <c r="AH305" s="19">
        <v>1</v>
      </c>
      <c r="AI305" s="20">
        <v>0</v>
      </c>
    </row>
    <row r="306" spans="2:36" s="22" customFormat="1" ht="15.75" hidden="1" customHeight="1">
      <c r="B306" s="111" t="s">
        <v>337</v>
      </c>
      <c r="C306" s="124"/>
      <c r="D306" s="122"/>
      <c r="E306" s="122"/>
      <c r="F306" s="120" t="s">
        <v>189</v>
      </c>
      <c r="G306" s="120"/>
      <c r="H306" s="120"/>
      <c r="I306" s="120" t="s">
        <v>190</v>
      </c>
      <c r="J306" s="120"/>
      <c r="K306" s="120"/>
      <c r="L306" s="120" t="s">
        <v>191</v>
      </c>
      <c r="M306" s="120"/>
      <c r="N306" s="120"/>
      <c r="O306" s="120"/>
      <c r="P306" s="120" t="s">
        <v>192</v>
      </c>
      <c r="Q306" s="120"/>
      <c r="R306" s="120"/>
      <c r="S306" s="120"/>
      <c r="T306" s="122"/>
      <c r="U306" s="120" t="s">
        <v>193</v>
      </c>
      <c r="V306" s="120"/>
      <c r="W306" s="120"/>
      <c r="X306" s="122"/>
      <c r="Y306" s="122"/>
      <c r="Z306" s="122"/>
      <c r="AA306" s="120" t="s">
        <v>194</v>
      </c>
      <c r="AB306" s="120"/>
      <c r="AC306" s="120"/>
      <c r="AD306" s="120"/>
      <c r="AE306" s="120"/>
      <c r="AF306" s="122"/>
      <c r="AG306" s="122"/>
      <c r="AH306" s="122"/>
      <c r="AI306" s="122"/>
      <c r="AJ306" s="21"/>
    </row>
    <row r="307" spans="2:36" s="22" customFormat="1" ht="15" hidden="1" customHeight="1">
      <c r="B307" s="112"/>
      <c r="C307" s="124"/>
      <c r="D307" s="123"/>
      <c r="E307" s="123"/>
      <c r="F307" s="121"/>
      <c r="G307" s="121"/>
      <c r="H307" s="121"/>
      <c r="I307" s="121"/>
      <c r="J307" s="121"/>
      <c r="K307" s="121"/>
      <c r="L307" s="121"/>
      <c r="M307" s="121"/>
      <c r="N307" s="121"/>
      <c r="O307" s="121"/>
      <c r="P307" s="121"/>
      <c r="Q307" s="121"/>
      <c r="R307" s="121"/>
      <c r="S307" s="121"/>
      <c r="T307" s="123"/>
      <c r="U307" s="121"/>
      <c r="V307" s="121"/>
      <c r="W307" s="121"/>
      <c r="X307" s="123"/>
      <c r="Y307" s="123"/>
      <c r="Z307" s="123"/>
      <c r="AA307" s="121"/>
      <c r="AB307" s="121"/>
      <c r="AC307" s="121"/>
      <c r="AD307" s="121"/>
      <c r="AE307" s="121"/>
      <c r="AF307" s="123"/>
      <c r="AG307" s="123"/>
      <c r="AH307" s="123"/>
      <c r="AI307" s="123"/>
      <c r="AJ307" s="21"/>
    </row>
    <row r="308" spans="2:36" s="22" customFormat="1" ht="15" hidden="1" thickBot="1">
      <c r="B308" s="23" t="s">
        <v>188</v>
      </c>
      <c r="C308" s="24" t="str">
        <f>BIN2HEX(D308&amp;E308&amp;F308&amp;G308)&amp;BIN2HEX(H308&amp;I308&amp;J308&amp;K308)&amp;BIN2HEX(L308&amp;M308&amp;N308&amp;O308)&amp;BIN2HEX(P308&amp;Q308&amp;R308&amp;S308)&amp;BIN2HEX(T308&amp;U308&amp;V308&amp;W308)&amp;BIN2HEX(X308&amp;Y308&amp;Z308&amp;AA308)&amp;BIN2HEX(AB308&amp;AC308&amp;AD308&amp;AE308)&amp;BIN2HEX(AF308&amp;AG308&amp;AH308&amp;AI308)</f>
        <v>24444040</v>
      </c>
      <c r="D308" s="25">
        <v>0</v>
      </c>
      <c r="E308" s="25">
        <v>0</v>
      </c>
      <c r="F308" s="29">
        <f>MOD(ROUNDDOWN((ROUNDUP(8.5/C24,0)-1)/4,0),2)</f>
        <v>1</v>
      </c>
      <c r="G308" s="29">
        <f>MOD(ROUNDDOWN((ROUNDUP(8.5/C24,0)-1)/2,0),2)</f>
        <v>0</v>
      </c>
      <c r="H308" s="29">
        <f>MOD(ROUNDUP(8.5/C24,0)-1,2)</f>
        <v>0</v>
      </c>
      <c r="I308" s="29">
        <f>MOD(ROUNDDOWN((ROUNDUP(8.5/C24,0)-1)/4,0),2)</f>
        <v>1</v>
      </c>
      <c r="J308" s="29">
        <f>MOD(ROUNDDOWN((ROUNDUP(8.5/C24,0)-1)/2,0),2)</f>
        <v>0</v>
      </c>
      <c r="K308" s="29">
        <f>MOD(ROUNDUP(8.5/C24,0)-1,2)</f>
        <v>0</v>
      </c>
      <c r="L308" s="29">
        <f>IF(C24&gt;=2.5,MOD(ROUNDDOWN(3/8,0),2),IF(C24&gt;=1.875,MOD(ROUNDDOWN(4/8,0),2),IF(C24&gt;=1.5,MOD(ROUNDDOWN(5/8,0),2),MOD(ROUNDDOWN(6/8,0),2))))</f>
        <v>0</v>
      </c>
      <c r="M308" s="29">
        <f>IF(C24&gt;=2.5,MOD(ROUNDDOWN(3/4,0),2),IF(C24&gt;=1.875,MOD(ROUNDDOWN(4/4,0),2),IF(C24&gt;=1.5,MOD(ROUNDDOWN(5/4,0),2),MOD(ROUNDDOWN(6/4,0),2))))</f>
        <v>1</v>
      </c>
      <c r="N308" s="29">
        <f>IF(C24&gt;=2.5,MOD(ROUNDDOWN(3/2,0),2),IF(C24&gt;=1.875,MOD(ROUNDDOWN(4/2,0),2),IF(C24&gt;=1.5,MOD(ROUNDDOWN(5/2,0),2),MOD(ROUNDDOWN(6/2,0),2))))</f>
        <v>0</v>
      </c>
      <c r="O308" s="29">
        <f>IF(C24&gt;=2.5,MOD(3,2),IF(C24&gt;=1.875,MOD(4,2),IF(C24&gt;=1.5,MOD(5,2),MOD(6,2))))</f>
        <v>0</v>
      </c>
      <c r="P308" s="29">
        <f>IF(C24&gt;=2.5,MOD(ROUNDDOWN(3/8,0),2),IF(C24&gt;=1.875,MOD(ROUNDDOWN(4/8,0),2),IF(C24&gt;=1.5,MOD(ROUNDDOWN(5/8,0),2),MOD(ROUNDDOWN(6/8,0),2))))</f>
        <v>0</v>
      </c>
      <c r="Q308" s="29">
        <f>IF(C24&gt;=2.5,MOD(ROUNDDOWN(3/4,0),2),IF(C24&gt;=1.875,MOD(ROUNDDOWN(4/4,0),2),IF(C24&gt;=1.5,MOD(ROUNDDOWN(5/4,0),2),MOD(ROUNDDOWN(6/4,0),2))))</f>
        <v>1</v>
      </c>
      <c r="R308" s="29">
        <f>IF(C24&gt;=2.5,MOD(ROUNDDOWN(3/2,0),2),IF(C24&gt;=1.875,MOD(ROUNDDOWN(4/2,0),2),IF(C24&gt;=1.5,MOD(ROUNDDOWN(5/2,0),2),MOD(ROUNDDOWN(6/2,0),2))))</f>
        <v>0</v>
      </c>
      <c r="S308" s="29">
        <f>IF(C24&gt;=2.5,MOD(3,2),IF(C24&gt;=1.875,MOD(4,2),IF(C24&gt;=1.5,MOD(5,2),MOD(6,2))))</f>
        <v>0</v>
      </c>
      <c r="T308" s="25">
        <v>0</v>
      </c>
      <c r="U308" s="29">
        <f>IF(C24&gt;=2.5,MOD(ROUNDDOWN(3/4,0),2),IF(C24&gt;=1.875,MOD(ROUNDDOWN(4/4,0),2),IF(C24&gt;=1.5,MOD(ROUNDDOWN(5/4,0),2),MOD(ROUNDDOWN(6/4,0),2))))</f>
        <v>1</v>
      </c>
      <c r="V308" s="29">
        <f>IF(C24&gt;=2.5,MOD(ROUNDDOWN(3/2,0),2),IF(C24&gt;=1.875,MOD(ROUNDDOWN(4/2,0),2),IF(C24&gt;=1.5,MOD(ROUNDDOWN(5/2,0),2),MOD(ROUNDDOWN(6/2,0),2))))</f>
        <v>0</v>
      </c>
      <c r="W308" s="29">
        <f>IF(C24&gt;=2.5,MOD(3,2),IF(C24&gt;=1.875,MOD(4,2),IF(C24&gt;=1.5,MOD(5,2),MOD(6,2))))</f>
        <v>0</v>
      </c>
      <c r="X308" s="25">
        <v>0</v>
      </c>
      <c r="Y308" s="25">
        <v>0</v>
      </c>
      <c r="Z308" s="25">
        <v>0</v>
      </c>
      <c r="AA308" s="25">
        <v>0</v>
      </c>
      <c r="AB308" s="25">
        <v>0</v>
      </c>
      <c r="AC308" s="25">
        <v>1</v>
      </c>
      <c r="AD308" s="25">
        <v>0</v>
      </c>
      <c r="AE308" s="25">
        <v>0</v>
      </c>
      <c r="AF308" s="25">
        <v>0</v>
      </c>
      <c r="AG308" s="25">
        <v>0</v>
      </c>
      <c r="AH308" s="25">
        <v>0</v>
      </c>
      <c r="AI308" s="26">
        <v>0</v>
      </c>
    </row>
    <row r="309" spans="2:36" ht="15" hidden="1" thickBot="1"/>
    <row r="310" spans="2:36" s="22" customFormat="1" ht="15.6" hidden="1">
      <c r="B310" s="17" t="s">
        <v>280</v>
      </c>
      <c r="C310" s="18" t="s">
        <v>6</v>
      </c>
      <c r="D310" s="19">
        <v>31</v>
      </c>
      <c r="E310" s="19">
        <v>30</v>
      </c>
      <c r="F310" s="19">
        <v>29</v>
      </c>
      <c r="G310" s="19">
        <v>28</v>
      </c>
      <c r="H310" s="19">
        <v>27</v>
      </c>
      <c r="I310" s="19">
        <v>26</v>
      </c>
      <c r="J310" s="19">
        <v>25</v>
      </c>
      <c r="K310" s="19">
        <v>24</v>
      </c>
      <c r="L310" s="19">
        <v>23</v>
      </c>
      <c r="M310" s="19">
        <v>22</v>
      </c>
      <c r="N310" s="19">
        <v>21</v>
      </c>
      <c r="O310" s="19">
        <v>20</v>
      </c>
      <c r="P310" s="19">
        <v>19</v>
      </c>
      <c r="Q310" s="19">
        <v>18</v>
      </c>
      <c r="R310" s="19">
        <v>17</v>
      </c>
      <c r="S310" s="19">
        <v>16</v>
      </c>
      <c r="T310" s="19">
        <v>15</v>
      </c>
      <c r="U310" s="19">
        <v>14</v>
      </c>
      <c r="V310" s="19">
        <v>13</v>
      </c>
      <c r="W310" s="19">
        <v>12</v>
      </c>
      <c r="X310" s="19">
        <v>11</v>
      </c>
      <c r="Y310" s="19">
        <v>10</v>
      </c>
      <c r="Z310" s="19">
        <v>9</v>
      </c>
      <c r="AA310" s="19">
        <v>8</v>
      </c>
      <c r="AB310" s="19">
        <v>7</v>
      </c>
      <c r="AC310" s="19">
        <v>6</v>
      </c>
      <c r="AD310" s="19">
        <v>5</v>
      </c>
      <c r="AE310" s="19">
        <v>4</v>
      </c>
      <c r="AF310" s="19">
        <v>3</v>
      </c>
      <c r="AG310" s="19">
        <v>2</v>
      </c>
      <c r="AH310" s="19">
        <v>1</v>
      </c>
      <c r="AI310" s="20">
        <v>0</v>
      </c>
    </row>
    <row r="311" spans="2:36" s="22" customFormat="1" ht="15.75" hidden="1" customHeight="1">
      <c r="B311" s="111" t="s">
        <v>338</v>
      </c>
      <c r="C311" s="124"/>
      <c r="D311" s="110" t="s">
        <v>10</v>
      </c>
      <c r="E311" s="110"/>
      <c r="F311" s="110"/>
      <c r="G311" s="110"/>
      <c r="H311" s="110"/>
      <c r="I311" s="110"/>
      <c r="J311" s="110"/>
      <c r="K311" s="110"/>
      <c r="L311" s="110" t="s">
        <v>11</v>
      </c>
      <c r="M311" s="110"/>
      <c r="N311" s="110"/>
      <c r="O311" s="110"/>
      <c r="P311" s="110"/>
      <c r="Q311" s="110"/>
      <c r="R311" s="110"/>
      <c r="S311" s="110"/>
      <c r="T311" s="110" t="s">
        <v>12</v>
      </c>
      <c r="U311" s="110"/>
      <c r="V311" s="110"/>
      <c r="W311" s="110" t="s">
        <v>13</v>
      </c>
      <c r="X311" s="110"/>
      <c r="Y311" s="110"/>
      <c r="Z311" s="110"/>
      <c r="AA311" s="110" t="s">
        <v>14</v>
      </c>
      <c r="AB311" s="110"/>
      <c r="AC311" s="110"/>
      <c r="AD311" s="110"/>
      <c r="AE311" s="110"/>
      <c r="AF311" s="110" t="s">
        <v>15</v>
      </c>
      <c r="AG311" s="110"/>
      <c r="AH311" s="110"/>
      <c r="AI311" s="150"/>
      <c r="AJ311" s="21"/>
    </row>
    <row r="312" spans="2:36" s="22" customFormat="1" ht="15" hidden="1" customHeight="1">
      <c r="B312" s="112"/>
      <c r="C312" s="124"/>
      <c r="D312" s="110"/>
      <c r="E312" s="110"/>
      <c r="F312" s="110"/>
      <c r="G312" s="110"/>
      <c r="H312" s="110"/>
      <c r="I312" s="110"/>
      <c r="J312" s="110"/>
      <c r="K312" s="110"/>
      <c r="L312" s="110"/>
      <c r="M312" s="110"/>
      <c r="N312" s="110"/>
      <c r="O312" s="110"/>
      <c r="P312" s="110"/>
      <c r="Q312" s="110"/>
      <c r="R312" s="110"/>
      <c r="S312" s="110"/>
      <c r="T312" s="110"/>
      <c r="U312" s="110"/>
      <c r="V312" s="110"/>
      <c r="W312" s="110"/>
      <c r="X312" s="110"/>
      <c r="Y312" s="110"/>
      <c r="Z312" s="110"/>
      <c r="AA312" s="110"/>
      <c r="AB312" s="110"/>
      <c r="AC312" s="110"/>
      <c r="AD312" s="110"/>
      <c r="AE312" s="110"/>
      <c r="AF312" s="110"/>
      <c r="AG312" s="110"/>
      <c r="AH312" s="110"/>
      <c r="AI312" s="150"/>
      <c r="AJ312" s="21"/>
    </row>
    <row r="313" spans="2:36" s="22" customFormat="1" ht="15" hidden="1" thickBot="1">
      <c r="B313" s="23" t="s">
        <v>9</v>
      </c>
      <c r="C313" s="24" t="str">
        <f>BIN2HEX(D313&amp;E313&amp;F313&amp;G313)&amp;BIN2HEX(H313&amp;I313&amp;J313&amp;K313)&amp;BIN2HEX(L313&amp;M313&amp;N313&amp;O313)&amp;BIN2HEX(P313&amp;Q313&amp;R313&amp;S313)&amp;BIN2HEX(T313&amp;U313&amp;V313&amp;W313)&amp;BIN2HEX(X313&amp;Y313&amp;Z313&amp;AA313)&amp;BIN2HEX(AB313&amp;AC313&amp;AD313&amp;AE313)&amp;BIN2HEX(AF313&amp;AG313&amp;AH313&amp;AI313)</f>
        <v>B8BE7955</v>
      </c>
      <c r="D313" s="29">
        <f>IF(C6=1,MOD(ROUNDDOWN((ROUNDUP(110/C24,0)-1)/128,0),2),IF(C6=2,MOD(ROUNDDOWN((ROUNDUP(160/C24,0)-1)/128,0),2),IF(C6=4,MOD(ROUNDDOWN((ROUNDUP(260/C24,0)-1)/128,0),2),MOD(ROUNDDOWN((ROUNDUP(350/C24,0)-1)/128,0),2))))</f>
        <v>1</v>
      </c>
      <c r="E313" s="29">
        <f>IF(C6=1,MOD(ROUNDDOWN((ROUNDUP(110/C24,0)-1)/64,0),2),IF(C6=2,MOD(ROUNDDOWN((ROUNDUP(160/C24,0)-1)/64,0),2),IF(C6=4,MOD(ROUNDDOWN((ROUNDUP(260/C24,0)-1)/64,0),2),MOD(ROUNDDOWN((ROUNDUP(350/C24,0)-1)/64,0),2))))</f>
        <v>0</v>
      </c>
      <c r="F313" s="29">
        <f>IF(C6=1,MOD(ROUNDDOWN((ROUNDUP(110/C24,0)-1)/32,0),2),IF(C6=2,MOD(ROUNDDOWN((ROUNDUP(160/C24,0)-1)/32,0),2),IF(C6=4,MOD(ROUNDDOWN((ROUNDUP(260/C24,0)-1)/32,0),2),MOD(ROUNDDOWN((ROUNDUP(350/C24,0)-1)/32,0),2))))</f>
        <v>1</v>
      </c>
      <c r="G313" s="29">
        <f>IF(C6=1,MOD(ROUNDDOWN((ROUNDUP(110/C24,0)-1)/16,0),2),IF(C6=2,MOD(ROUNDDOWN((ROUNDUP(160/C24,0)-1)/16,0),2),IF(C6=4,MOD(ROUNDDOWN((ROUNDUP(260/C24,0)-1)/16,0),2),MOD(ROUNDDOWN((ROUNDUP(350/C24,0)-1)/16,0),2))))</f>
        <v>1</v>
      </c>
      <c r="H313" s="29">
        <f>IF(C6=1,MOD(ROUNDDOWN((ROUNDUP(110/C24,0)-1)/8,0),2),IF(C6=2,MOD(ROUNDDOWN((ROUNDUP(160/C24,0)-1)/8,0),2),IF(C6=4,MOD(ROUNDDOWN((ROUNDUP(260/C24,0)-1)/8,0),2),MOD(ROUNDDOWN((ROUNDUP(350/C24,0)-1)/8,0),2))))</f>
        <v>1</v>
      </c>
      <c r="I313" s="29">
        <f>IF(C6=1,MOD(ROUNDDOWN((ROUNDUP(110/C24,0)-1)/4,0),2),IF(C6=2,MOD(ROUNDDOWN((ROUNDUP(160/C24,0)-1)/4,0),2),IF(C6=4,MOD(ROUNDDOWN((ROUNDUP(260/C24,0)-1)/4,0),2),MOD(ROUNDDOWN((ROUNDUP(350/C24,0)-1)/4,0),2))))</f>
        <v>0</v>
      </c>
      <c r="J313" s="29">
        <f>IF(C6=1,MOD(ROUNDDOWN((ROUNDUP(110/C24,0)-1)/2,0),2),IF(C6=2,MOD(ROUNDDOWN((ROUNDUP(160/C24,0)-1)/2,0),2),IF(C6=4,MOD(ROUNDDOWN((ROUNDUP(260/C24,0)-1)/2,0),2),MOD(ROUNDDOWN((ROUNDUP(350/C24,0)-1)/2,0),2))))</f>
        <v>0</v>
      </c>
      <c r="K313" s="29">
        <f>IF(C6=1,MOD((ROUNDUP(110/C24,0)-1),2),IF(C6=2,MOD((ROUNDUP(160/C24,0)-1),2),IF(C6=4,MOD((ROUNDUP(260/C24,0)-1),2),MOD((ROUNDUP(350/C24,0)-1),2))))</f>
        <v>0</v>
      </c>
      <c r="L313" s="29">
        <f>IF(C6=1,MOD(ROUNDDOWN((ROUNDUP(120/C24,0)-1)/128,0),2),IF(C6=2,MOD(ROUNDDOWN((ROUNDUP(170/C24,0)-1)/128,0),2),IF(C6=4,MOD(ROUNDDOWN((ROUNDUP(270/C24,0)-1)/128,0),2),MOD(ROUNDDOWN((ROUNDUP(360/C24,0)-1)/128,0),2))))</f>
        <v>1</v>
      </c>
      <c r="M313" s="29">
        <f>IF(C6=1,MOD(ROUNDDOWN((ROUNDUP(120/C24,0)-1)/64,0),2),IF(C6=2,MOD(ROUNDDOWN((ROUNDUP(170/C24,0)-1)/64,0),2),IF(C6=4,MOD(ROUNDDOWN((ROUNDUP(270/C24,0)-1)/64,0),2),MOD(ROUNDDOWN((ROUNDUP(360/C24,0)-1)/64,0),2))))</f>
        <v>0</v>
      </c>
      <c r="N313" s="29">
        <f>IF(C6=1,MOD(ROUNDDOWN((ROUNDUP(120/C24,0)-1)/32,0),2),IF(C6=2,MOD(ROUNDDOWN((ROUNDUP(170/C24,0)-1)/32,0),2),IF(C6=4,MOD(ROUNDDOWN((ROUNDUP(270/C24,0)-1)/32,0),2),MOD(ROUNDDOWN((ROUNDUP(360/C24,0)-1)/32,0),2))))</f>
        <v>1</v>
      </c>
      <c r="O313" s="29">
        <f>IF(C6=1,MOD(ROUNDDOWN((ROUNDUP(120/C24,0)-1)/16,0),2),IF(C6=2,MOD(ROUNDDOWN((ROUNDUP(170/C24,0)-1)/16,0),2),IF(C6=4,MOD(ROUNDDOWN((ROUNDUP(270/C24,0)-1)/16,0),2),MOD(ROUNDDOWN((ROUNDUP(360/C24,0)-1)/16,0),2))))</f>
        <v>1</v>
      </c>
      <c r="P313" s="29">
        <f>IF(C6=1,MOD(ROUNDDOWN((ROUNDUP(120/C24,0)-1)/8,0),2),IF(C6=2,MOD(ROUNDDOWN((ROUNDUP(170/C24,0)-1)/8,0),2),IF(C6=4,MOD(ROUNDDOWN((ROUNDUP(270/C24,0)-1)/8,0),2),MOD(ROUNDDOWN((ROUNDUP(360/C24,0)-1)/8,0),2))))</f>
        <v>1</v>
      </c>
      <c r="Q313" s="29">
        <f>IF(C6=1,MOD(ROUNDDOWN((ROUNDUP(120/C24,0)-1)/4,0),2),IF(C6=2,MOD(ROUNDDOWN((ROUNDUP(170/C24,0)-1)/4,0),2),IF(C6=4,MOD(ROUNDDOWN((ROUNDUP(270/C24,0)-1)/4,0),2),MOD(ROUNDDOWN((ROUNDUP(360/C24,0)-1)/4,0),2))))</f>
        <v>1</v>
      </c>
      <c r="R313" s="29">
        <f>IF(C6=1,MOD(ROUNDDOWN((ROUNDUP(120/C24,0)-1)/2,0),2),IF(C6=2,MOD(ROUNDDOWN((ROUNDUP(170/C24,0)-1)/2,0),2),IF(C6=4,MOD(ROUNDDOWN((ROUNDUP(270/C24,0)-1)/2,0),2),MOD(ROUNDDOWN((ROUNDUP(360/C24,0)-1)/2,0),2))))</f>
        <v>1</v>
      </c>
      <c r="S313" s="29">
        <f>IF(C6=1,MOD((ROUNDUP(120/C24,0)-1),2),IF(C6=2,MOD((ROUNDUP(170/C24,0)-1),2),IF(C6=4,MOD((ROUNDUP(270/C24,0)-1),2),MOD((ROUNDUP(360/C24,0)-1),2))))</f>
        <v>0</v>
      </c>
      <c r="T313" s="29">
        <f>IF(D5&lt;=1066,MOD(ROUNDDOWN((ROUNDUP(MAX(3*C24,7.5)/C24,0)-1)/4,0),2),MOD(ROUNDDOWN((ROUNDUP(MAX(3*C24,6)/C24,0)-1)/4,0),2))</f>
        <v>0</v>
      </c>
      <c r="U313" s="29">
        <f>IF(D5&lt;=1066,MOD(ROUNDDOWN((ROUNDUP(MAX(3*C24,7.5)/C24,0)-1)/2,0),2),MOD(ROUNDDOWN((ROUNDUP(MAX(3*C24,6)/C24,0)-1)/2,0),2))</f>
        <v>1</v>
      </c>
      <c r="V313" s="29">
        <f>IF(D5&lt;=1066,MOD((ROUNDUP(MAX(3*C24,7.5)/C24,0)-1),2),MOD((ROUNDUP(MAX(3*C24,6)/C24,0)-1),2))</f>
        <v>1</v>
      </c>
      <c r="W313" s="29">
        <f>MOD(ROUNDDOWN((ROUNDUP(MAX(10*C24,24)/C24,0)-1)/8,0),2)</f>
        <v>1</v>
      </c>
      <c r="X313" s="29">
        <f>MOD(ROUNDDOWN((ROUNDUP(MAX(10*C24,24)/C24,0)-1)/4,0),2)</f>
        <v>1</v>
      </c>
      <c r="Y313" s="29">
        <f>MOD(ROUNDDOWN((ROUNDUP(MAX(10*C24,24)/C24,0)-1)/2,0),2)</f>
        <v>0</v>
      </c>
      <c r="Z313" s="29">
        <f>MOD((ROUNDUP(MAX(10*C24,24)/C24,0)-1),2)</f>
        <v>0</v>
      </c>
      <c r="AA313" s="29">
        <f>IF(C11=1,IF(D5=800,MOD(ROUNDDOWN((ROUNDUP(40/C24,0)-1)/16,0),2),IF(D5=1066,MOD(ROUNDDOWN((ROUNDUP(37.5/C24,0)-1)/16,0),2),MOD(ROUNDDOWN((ROUNDUP(30/C24,0)-1)/16,0),2))),IF(D5=1333,MOD(ROUNDDOWN((ROUNDUP(45/C24,0)-1)/16,0),2),IF(D5=1600,MOD(ROUNDDOWN((ROUNDUP(40/C24,0)-1)/16,0),2),MOD(ROUNDDOWN((ROUNDUP(50/C24,0)-1)/16,0),2))))</f>
        <v>1</v>
      </c>
      <c r="AB313" s="29">
        <f>IF(C11=1,IF(D5=800,MOD(ROUNDDOWN((ROUNDUP(40/C24,0)-1)/8,0),2),IF(D5=1066,MOD(ROUNDDOWN((ROUNDUP(37.5/C24,0)-1)/8,0),2),MOD(ROUNDDOWN((ROUNDUP(30/C24,0)-1)/8,0),2))),IF(D5=1333,MOD(ROUNDDOWN((ROUNDUP(45/C24,0)-1)/8,0),2),IF(D5=1600,MOD(ROUNDDOWN((ROUNDUP(40/C24,0)-1)/8,0),2),MOD(ROUNDDOWN((ROUNDUP(50/C24,0)-1)/8,0),2))))</f>
        <v>0</v>
      </c>
      <c r="AC313" s="29">
        <f>IF(C11=1,IF(D5=800,MOD(ROUNDDOWN((ROUNDUP(40/C24,0)-1)/4,0),2),IF(D5=1066,MOD(ROUNDDOWN((ROUNDUP(37.5/C24,0)-1)/4,0),2),MOD(ROUNDDOWN((ROUNDUP(30/C24,0)-1)/4,0),2))),IF(D5=1333,MOD(ROUNDDOWN((ROUNDUP(45/C24,0)-1)/4,0),2),IF(D5=1600,MOD(ROUNDDOWN((ROUNDUP(40/C24,0)-1)/4,0),2),MOD(ROUNDDOWN((ROUNDUP(50/C24,0)-1)/4,0),2))))</f>
        <v>1</v>
      </c>
      <c r="AD313" s="29">
        <f>IF(C11=1,IF(D5=800,MOD(ROUNDDOWN((ROUNDUP(40/C24,0)-1)/2,0),2),IF(D5=1066,MOD(ROUNDDOWN((ROUNDUP(37.5/C24,0)-1)/2,0),2),MOD(ROUNDDOWN((ROUNDUP(30/C24,0)-1)/2,0),2))),IF(D5=1333,MOD(ROUNDDOWN((ROUNDUP(45/C24,0)-1)/2,0),2),IF(D5=1600,MOD(ROUNDDOWN((ROUNDUP(40/C24,0)-1)/2,0),2),MOD(ROUNDDOWN((ROUNDUP(50/C24,0)-1)/2,0),2))))</f>
        <v>0</v>
      </c>
      <c r="AE313" s="29">
        <f>IF(C11=1,IF(D5=800,MOD((ROUNDUP(40/C24,0)-1),2),IF(D5=1066,MOD((ROUNDUP(37.5/C24,0)-1),2),MOD((ROUNDUP(30/C24,0)-1),2))),IF(D5=1333,MOD((ROUNDUP(45/C24,0)-1),2),IF(D5=1600,MOD((ROUNDUP(40/C24,0)-1),2),MOD((ROUNDUP(50/C24,0)-1),2))))</f>
        <v>1</v>
      </c>
      <c r="AF313" s="29">
        <f>MOD(ROUNDDOWN((ROUNDUP(C14/C24,0)-3)/8,0),2)</f>
        <v>0</v>
      </c>
      <c r="AG313" s="29">
        <f>MOD(ROUNDDOWN((ROUNDUP(C14/C24,0)-3)/4,0),2)</f>
        <v>1</v>
      </c>
      <c r="AH313" s="29">
        <f>MOD(ROUNDDOWN((ROUNDUP(C14/C24,0)-3)/2,0),2)</f>
        <v>0</v>
      </c>
      <c r="AI313" s="41">
        <f>MOD((ROUNDUP(C14/C24,0)-3),2)</f>
        <v>1</v>
      </c>
    </row>
    <row r="314" spans="2:36" ht="15" hidden="1" thickBot="1"/>
    <row r="315" spans="2:36" s="22" customFormat="1" ht="15.6" hidden="1">
      <c r="B315" s="17" t="s">
        <v>280</v>
      </c>
      <c r="C315" s="18" t="s">
        <v>6</v>
      </c>
      <c r="D315" s="19">
        <v>31</v>
      </c>
      <c r="E315" s="19">
        <v>30</v>
      </c>
      <c r="F315" s="19">
        <v>29</v>
      </c>
      <c r="G315" s="19">
        <v>28</v>
      </c>
      <c r="H315" s="19">
        <v>27</v>
      </c>
      <c r="I315" s="19">
        <v>26</v>
      </c>
      <c r="J315" s="19">
        <v>25</v>
      </c>
      <c r="K315" s="19">
        <v>24</v>
      </c>
      <c r="L315" s="19">
        <v>23</v>
      </c>
      <c r="M315" s="19">
        <v>22</v>
      </c>
      <c r="N315" s="19">
        <v>21</v>
      </c>
      <c r="O315" s="19">
        <v>20</v>
      </c>
      <c r="P315" s="19">
        <v>19</v>
      </c>
      <c r="Q315" s="19">
        <v>18</v>
      </c>
      <c r="R315" s="19">
        <v>17</v>
      </c>
      <c r="S315" s="19">
        <v>16</v>
      </c>
      <c r="T315" s="19">
        <v>15</v>
      </c>
      <c r="U315" s="19">
        <v>14</v>
      </c>
      <c r="V315" s="19">
        <v>13</v>
      </c>
      <c r="W315" s="19">
        <v>12</v>
      </c>
      <c r="X315" s="19">
        <v>11</v>
      </c>
      <c r="Y315" s="19">
        <v>10</v>
      </c>
      <c r="Z315" s="19">
        <v>9</v>
      </c>
      <c r="AA315" s="19">
        <v>8</v>
      </c>
      <c r="AB315" s="19">
        <v>7</v>
      </c>
      <c r="AC315" s="19">
        <v>6</v>
      </c>
      <c r="AD315" s="19">
        <v>5</v>
      </c>
      <c r="AE315" s="19">
        <v>4</v>
      </c>
      <c r="AF315" s="19">
        <v>3</v>
      </c>
      <c r="AG315" s="19">
        <v>2</v>
      </c>
      <c r="AH315" s="19">
        <v>1</v>
      </c>
      <c r="AI315" s="20">
        <v>0</v>
      </c>
    </row>
    <row r="316" spans="2:36" s="22" customFormat="1" ht="15.75" hidden="1" customHeight="1">
      <c r="B316" s="111" t="s">
        <v>339</v>
      </c>
      <c r="C316" s="124"/>
      <c r="D316" s="151" t="s">
        <v>196</v>
      </c>
      <c r="E316" s="151"/>
      <c r="F316" s="151"/>
      <c r="G316" s="151" t="s">
        <v>197</v>
      </c>
      <c r="H316" s="151"/>
      <c r="I316" s="151"/>
      <c r="J316" s="151" t="s">
        <v>198</v>
      </c>
      <c r="K316" s="151"/>
      <c r="L316" s="151"/>
      <c r="M316" s="151"/>
      <c r="N316" s="151"/>
      <c r="O316" s="151" t="s">
        <v>199</v>
      </c>
      <c r="P316" s="151"/>
      <c r="Q316" s="151"/>
      <c r="R316" s="151"/>
      <c r="S316" s="151"/>
      <c r="T316" s="151" t="s">
        <v>200</v>
      </c>
      <c r="U316" s="122"/>
      <c r="V316" s="122"/>
      <c r="W316" s="122"/>
      <c r="X316" s="151" t="s">
        <v>201</v>
      </c>
      <c r="Y316" s="151"/>
      <c r="Z316" s="151"/>
      <c r="AA316" s="151" t="s">
        <v>202</v>
      </c>
      <c r="AB316" s="151"/>
      <c r="AC316" s="151"/>
      <c r="AD316" s="151"/>
      <c r="AE316" s="122"/>
      <c r="AF316" s="122"/>
      <c r="AG316" s="151" t="s">
        <v>203</v>
      </c>
      <c r="AH316" s="151"/>
      <c r="AI316" s="152"/>
      <c r="AJ316" s="21"/>
    </row>
    <row r="317" spans="2:36" s="22" customFormat="1" ht="15" hidden="1" customHeight="1">
      <c r="B317" s="112"/>
      <c r="C317" s="124"/>
      <c r="D317" s="153"/>
      <c r="E317" s="153"/>
      <c r="F317" s="153"/>
      <c r="G317" s="153"/>
      <c r="H317" s="153"/>
      <c r="I317" s="153"/>
      <c r="J317" s="153"/>
      <c r="K317" s="153"/>
      <c r="L317" s="153"/>
      <c r="M317" s="153"/>
      <c r="N317" s="153"/>
      <c r="O317" s="153"/>
      <c r="P317" s="153"/>
      <c r="Q317" s="153"/>
      <c r="R317" s="153"/>
      <c r="S317" s="153"/>
      <c r="T317" s="153"/>
      <c r="U317" s="123"/>
      <c r="V317" s="123"/>
      <c r="W317" s="123"/>
      <c r="X317" s="153"/>
      <c r="Y317" s="153"/>
      <c r="Z317" s="153"/>
      <c r="AA317" s="153"/>
      <c r="AB317" s="153"/>
      <c r="AC317" s="153"/>
      <c r="AD317" s="153"/>
      <c r="AE317" s="123"/>
      <c r="AF317" s="123"/>
      <c r="AG317" s="153"/>
      <c r="AH317" s="153"/>
      <c r="AI317" s="154"/>
      <c r="AJ317" s="21"/>
    </row>
    <row r="318" spans="2:36" s="22" customFormat="1" ht="15" hidden="1" thickBot="1">
      <c r="B318" s="23" t="s">
        <v>195</v>
      </c>
      <c r="C318" s="24" t="str">
        <f>BIN2HEX(D318&amp;E318&amp;F318&amp;G318)&amp;BIN2HEX(H318&amp;I318&amp;J318&amp;K318)&amp;BIN2HEX(L318&amp;M318&amp;N318&amp;O318)&amp;BIN2HEX(P318&amp;Q318&amp;R318&amp;S318)&amp;BIN2HEX(T318&amp;U318&amp;V318&amp;W318)&amp;BIN2HEX(X318&amp;Y318&amp;Z318&amp;AA318)&amp;BIN2HEX(AB318&amp;AC318&amp;AD318&amp;AE318)&amp;BIN2HEX(AF318&amp;AG318&amp;AH318&amp;AI318)</f>
        <v>FF328F64</v>
      </c>
      <c r="D318" s="29">
        <f>MOD(ROUNDDOWN((ROUNDUP(C14/C24,0)-1)/4,0),2)</f>
        <v>1</v>
      </c>
      <c r="E318" s="29">
        <f>MOD(ROUNDDOWN((ROUNDUP(C14/C24,0)-1)/2,0),2)</f>
        <v>1</v>
      </c>
      <c r="F318" s="29">
        <f>MOD((ROUNDUP(C14/C24,0)-1),2)</f>
        <v>1</v>
      </c>
      <c r="G318" s="29">
        <f>MOD(ROUNDDOWN((ROUNDUP(C14/C24,0)-1)/4,0),2)</f>
        <v>1</v>
      </c>
      <c r="H318" s="29">
        <f>MOD(ROUNDDOWN((ROUNDUP(C14/C24,0)-1)/2,0),2)</f>
        <v>1</v>
      </c>
      <c r="I318" s="29">
        <f>MOD((ROUNDUP(C14/C24,0)-1),2)</f>
        <v>1</v>
      </c>
      <c r="J318" s="29">
        <f>MOD(ROUNDDOWN((ROUNDUP(C15/C24,0)-1)/16,0),2)</f>
        <v>1</v>
      </c>
      <c r="K318" s="29">
        <f>MOD(ROUNDDOWN((ROUNDUP(C15/C24,0)-1)/8,0),2)</f>
        <v>1</v>
      </c>
      <c r="L318" s="29">
        <f>MOD(ROUNDDOWN((ROUNDUP(C15/C24,0)-1)/4,0),2)</f>
        <v>0</v>
      </c>
      <c r="M318" s="29">
        <f>MOD(ROUNDDOWN((ROUNDUP(C15/C24,0)-1)/2,0),2)</f>
        <v>0</v>
      </c>
      <c r="N318" s="29">
        <f>MOD((ROUNDUP(C15/C24,0)-1),2)</f>
        <v>1</v>
      </c>
      <c r="O318" s="29">
        <f>MOD(ROUNDDOWN((ROUNDUP(C16/C24,0)-1)/16,0),2)</f>
        <v>1</v>
      </c>
      <c r="P318" s="29">
        <f>MOD(ROUNDDOWN((ROUNDUP(C16/C24,0)-1)/8,0),2)</f>
        <v>0</v>
      </c>
      <c r="Q318" s="29">
        <f>MOD(ROUNDDOWN((ROUNDUP(C16/C24,0)-1)/4,0),2)</f>
        <v>0</v>
      </c>
      <c r="R318" s="29">
        <f>MOD(ROUNDDOWN((ROUNDUP(C16/C24,0)-1)/2,0),2)</f>
        <v>1</v>
      </c>
      <c r="S318" s="29">
        <f>MOD((ROUNDUP(C16/C24,0)-1),2)</f>
        <v>0</v>
      </c>
      <c r="T318" s="25">
        <v>1</v>
      </c>
      <c r="U318" s="25">
        <v>0</v>
      </c>
      <c r="V318" s="25">
        <v>0</v>
      </c>
      <c r="W318" s="25">
        <v>0</v>
      </c>
      <c r="X318" s="29">
        <f>MOD(ROUNDDOWN((ROUNDUP(15/C24,0)-1)/4,0),2)</f>
        <v>1</v>
      </c>
      <c r="Y318" s="29">
        <f>MOD(ROUNDDOWN((ROUNDUP(15/C24,0)-1)/2,0),2)</f>
        <v>1</v>
      </c>
      <c r="Z318" s="29">
        <f>MOD((ROUNDUP(15/C24,0)-1),2)</f>
        <v>1</v>
      </c>
      <c r="AA318" s="29">
        <f>MOD(ROUNDDOWN((ROUNDUP(MAX(12*C24,15)/C24,0)-1)/8,0),2)</f>
        <v>1</v>
      </c>
      <c r="AB318" s="29">
        <f>MOD(ROUNDDOWN((ROUNDUP(MAX(12*C24,15)/C24,0)-1)/4,0),2)</f>
        <v>0</v>
      </c>
      <c r="AC318" s="29">
        <f>MOD(ROUNDDOWN((ROUNDUP(MAX(12*C24,15)/C24,0)-1)/2,0),2)</f>
        <v>1</v>
      </c>
      <c r="AD318" s="29">
        <f>MOD((ROUNDUP(MAX(12*C24,15)/C24,0)-1),2)</f>
        <v>1</v>
      </c>
      <c r="AE318" s="25">
        <v>0</v>
      </c>
      <c r="AF318" s="25">
        <v>0</v>
      </c>
      <c r="AG318" s="29">
        <f>IF(C24&gt;=2.5,MOD(ROUNDDOWN(3/4,0),2),IF(C24&gt;=1.875,MOD(ROUNDDOWN(4/4,0),2),IF(C24&gt;=1.5,MOD(ROUNDDOWN(5/4,0),2),MOD(ROUNDDOWN(6/4,0),2))))</f>
        <v>1</v>
      </c>
      <c r="AH318" s="29">
        <f>IF(C24&gt;=2.5,MOD(ROUNDDOWN(3/2,0),2),IF(C24&gt;=1.875,MOD(ROUNDDOWN(4/2,0),2),IF(C24&gt;=1.5,MOD(ROUNDDOWN(5/2,0),2),MOD(ROUNDDOWN(6/2,0),2))))</f>
        <v>0</v>
      </c>
      <c r="AI318" s="41">
        <f>IF(C24&gt;=2.5,MOD(3,2),IF(C24&gt;=1.875,MOD(4,2),IF(C24&gt;=1.5,MOD(5,2),MOD(6,2))))</f>
        <v>0</v>
      </c>
    </row>
    <row r="319" spans="2:36" ht="15" hidden="1" thickBot="1"/>
    <row r="320" spans="2:36" s="22" customFormat="1" ht="15.6" hidden="1">
      <c r="B320" s="17" t="s">
        <v>280</v>
      </c>
      <c r="C320" s="18" t="s">
        <v>6</v>
      </c>
      <c r="D320" s="19">
        <v>31</v>
      </c>
      <c r="E320" s="19">
        <v>30</v>
      </c>
      <c r="F320" s="19">
        <v>29</v>
      </c>
      <c r="G320" s="19">
        <v>28</v>
      </c>
      <c r="H320" s="19">
        <v>27</v>
      </c>
      <c r="I320" s="19">
        <v>26</v>
      </c>
      <c r="J320" s="19">
        <v>25</v>
      </c>
      <c r="K320" s="19">
        <v>24</v>
      </c>
      <c r="L320" s="19">
        <v>23</v>
      </c>
      <c r="M320" s="19">
        <v>22</v>
      </c>
      <c r="N320" s="19">
        <v>21</v>
      </c>
      <c r="O320" s="19">
        <v>20</v>
      </c>
      <c r="P320" s="19">
        <v>19</v>
      </c>
      <c r="Q320" s="19">
        <v>18</v>
      </c>
      <c r="R320" s="19">
        <v>17</v>
      </c>
      <c r="S320" s="19">
        <v>16</v>
      </c>
      <c r="T320" s="19">
        <v>15</v>
      </c>
      <c r="U320" s="19">
        <v>14</v>
      </c>
      <c r="V320" s="19">
        <v>13</v>
      </c>
      <c r="W320" s="19">
        <v>12</v>
      </c>
      <c r="X320" s="19">
        <v>11</v>
      </c>
      <c r="Y320" s="19">
        <v>10</v>
      </c>
      <c r="Z320" s="19">
        <v>9</v>
      </c>
      <c r="AA320" s="19">
        <v>8</v>
      </c>
      <c r="AB320" s="19">
        <v>7</v>
      </c>
      <c r="AC320" s="19">
        <v>6</v>
      </c>
      <c r="AD320" s="19">
        <v>5</v>
      </c>
      <c r="AE320" s="19">
        <v>4</v>
      </c>
      <c r="AF320" s="19">
        <v>3</v>
      </c>
      <c r="AG320" s="19">
        <v>2</v>
      </c>
      <c r="AH320" s="19">
        <v>1</v>
      </c>
      <c r="AI320" s="20">
        <v>0</v>
      </c>
    </row>
    <row r="321" spans="2:36" s="22" customFormat="1" ht="15.75" hidden="1" customHeight="1">
      <c r="B321" s="111" t="s">
        <v>343</v>
      </c>
      <c r="C321" s="124"/>
      <c r="D321" s="122"/>
      <c r="E321" s="122"/>
      <c r="F321" s="122"/>
      <c r="G321" s="122"/>
      <c r="H321" s="122"/>
      <c r="I321" s="122"/>
      <c r="J321" s="122"/>
      <c r="K321" s="151" t="s">
        <v>205</v>
      </c>
      <c r="L321" s="151"/>
      <c r="M321" s="151"/>
      <c r="N321" s="151"/>
      <c r="O321" s="151"/>
      <c r="P321" s="151"/>
      <c r="Q321" s="151"/>
      <c r="R321" s="151"/>
      <c r="S321" s="151"/>
      <c r="T321" s="122"/>
      <c r="U321" s="122"/>
      <c r="V321" s="122"/>
      <c r="W321" s="122"/>
      <c r="X321" s="122"/>
      <c r="Y321" s="122"/>
      <c r="Z321" s="122"/>
      <c r="AA321" s="151" t="s">
        <v>206</v>
      </c>
      <c r="AB321" s="151"/>
      <c r="AC321" s="151"/>
      <c r="AD321" s="151" t="s">
        <v>207</v>
      </c>
      <c r="AE321" s="151"/>
      <c r="AF321" s="151"/>
      <c r="AG321" s="151" t="s">
        <v>208</v>
      </c>
      <c r="AH321" s="151"/>
      <c r="AI321" s="152"/>
      <c r="AJ321" s="21"/>
    </row>
    <row r="322" spans="2:36" s="22" customFormat="1" ht="15" hidden="1" customHeight="1">
      <c r="B322" s="112"/>
      <c r="C322" s="124"/>
      <c r="D322" s="123"/>
      <c r="E322" s="123"/>
      <c r="F322" s="123"/>
      <c r="G322" s="123"/>
      <c r="H322" s="123"/>
      <c r="I322" s="123"/>
      <c r="J322" s="123"/>
      <c r="K322" s="153"/>
      <c r="L322" s="153"/>
      <c r="M322" s="153"/>
      <c r="N322" s="153"/>
      <c r="O322" s="153"/>
      <c r="P322" s="153"/>
      <c r="Q322" s="153"/>
      <c r="R322" s="153"/>
      <c r="S322" s="153"/>
      <c r="T322" s="123"/>
      <c r="U322" s="123"/>
      <c r="V322" s="123"/>
      <c r="W322" s="123"/>
      <c r="X322" s="123"/>
      <c r="Y322" s="123"/>
      <c r="Z322" s="123"/>
      <c r="AA322" s="153"/>
      <c r="AB322" s="153"/>
      <c r="AC322" s="153"/>
      <c r="AD322" s="153"/>
      <c r="AE322" s="153"/>
      <c r="AF322" s="153"/>
      <c r="AG322" s="153"/>
      <c r="AH322" s="153"/>
      <c r="AI322" s="154"/>
      <c r="AJ322" s="21"/>
    </row>
    <row r="323" spans="2:36" s="22" customFormat="1" ht="15" hidden="1" thickBot="1">
      <c r="B323" s="23" t="s">
        <v>204</v>
      </c>
      <c r="C323" s="24" t="str">
        <f>BIN2HEX(D323&amp;E323&amp;F323&amp;G323)&amp;BIN2HEX(H323&amp;I323&amp;J323&amp;K323)&amp;BIN2HEX(L323&amp;M323&amp;N323&amp;O323)&amp;BIN2HEX(P323&amp;Q323&amp;R323&amp;S323)&amp;BIN2HEX(T323&amp;U323&amp;V323&amp;W323)&amp;BIN2HEX(X323&amp;Y323&amp;Z323&amp;AA323)&amp;BIN2HEX(AB323&amp;AC323&amp;AD323&amp;AE323)&amp;BIN2HEX(AF323&amp;AG323&amp;AH323&amp;AI323)</f>
        <v>01FF00DB</v>
      </c>
      <c r="D323" s="25">
        <v>0</v>
      </c>
      <c r="E323" s="25">
        <v>0</v>
      </c>
      <c r="F323" s="25">
        <v>0</v>
      </c>
      <c r="G323" s="25">
        <v>0</v>
      </c>
      <c r="H323" s="25">
        <v>0</v>
      </c>
      <c r="I323" s="25">
        <v>0</v>
      </c>
      <c r="J323" s="25">
        <v>0</v>
      </c>
      <c r="K323" s="25">
        <v>1</v>
      </c>
      <c r="L323" s="25">
        <v>1</v>
      </c>
      <c r="M323" s="25">
        <v>1</v>
      </c>
      <c r="N323" s="25">
        <v>1</v>
      </c>
      <c r="O323" s="25">
        <v>1</v>
      </c>
      <c r="P323" s="25">
        <v>1</v>
      </c>
      <c r="Q323" s="25">
        <v>1</v>
      </c>
      <c r="R323" s="25">
        <v>1</v>
      </c>
      <c r="S323" s="25">
        <v>1</v>
      </c>
      <c r="T323" s="25">
        <v>0</v>
      </c>
      <c r="U323" s="25">
        <v>0</v>
      </c>
      <c r="V323" s="25">
        <v>0</v>
      </c>
      <c r="W323" s="25">
        <v>0</v>
      </c>
      <c r="X323" s="25">
        <v>0</v>
      </c>
      <c r="Y323" s="25">
        <v>0</v>
      </c>
      <c r="Z323" s="25">
        <v>0</v>
      </c>
      <c r="AA323" s="29">
        <f>MOD(ROUNDDOWN((ROUNDUP(MAX(4*C24,7.5)/C24,0)-1)/4,0),2)</f>
        <v>0</v>
      </c>
      <c r="AB323" s="29">
        <f>MOD(ROUNDDOWN((ROUNDUP(MAX(4*C24,7.5)/C24,0)-1)/2,0),2)</f>
        <v>1</v>
      </c>
      <c r="AC323" s="29">
        <f>MOD((ROUNDUP(MAX(4*C24,7.5)/C24,0)-1),2)</f>
        <v>1</v>
      </c>
      <c r="AD323" s="29">
        <f>MOD(ROUNDDOWN((ROUNDUP(MAX(4*C24,7.5)/C24,0)-1)/4,0),2)</f>
        <v>0</v>
      </c>
      <c r="AE323" s="29">
        <f>MOD(ROUNDDOWN((ROUNDUP(MAX(4*C24,7.5)/C24,0)-1)/2,0),2)</f>
        <v>1</v>
      </c>
      <c r="AF323" s="29">
        <f>MOD((ROUNDUP(MAX(4*C24,7.5)/C24,0)-1),2)</f>
        <v>1</v>
      </c>
      <c r="AG323" s="29">
        <f>IF(C11=1,IF(D5=800,MOD(ROUNDDOWN((ROUNDUP(MAX(4*C24,10)/C24,0)-1)/4,0),2),IF(D5=1066,MOD(ROUNDDOWN((ROUNDUP(MAX(4*C24,7.5)/C24,0)-1)/4,0),2),MOD(ROUNDDOWN((ROUNDUP(MAX(4*C24,6)/C24,0)-1)/4,0),2))),IF(D5&lt;=1066,MOD(ROUNDDOWN((ROUNDUP(MAX(4*C24,10)/C24,0)-1)/4,0),2),MOD(ROUNDDOWN((ROUNDUP(MAX(4*C24,7.5)/C24,0)-1)/4,0),2)))</f>
        <v>0</v>
      </c>
      <c r="AH323" s="29">
        <f>IF(C11=1,IF(D5=800,MOD(ROUNDDOWN((ROUNDUP(MAX(4*C24,10)/C24,0)-1)/2,0),2),IF(D5=1066,MOD(ROUNDDOWN((ROUNDUP(MAX(4*C24,7.5)/C24,0)-1)/2,0),2),MOD(ROUNDDOWN((ROUNDUP(MAX(4*C24,6)/C24,0)-1)/2,0),2))),IF(D5&lt;=1066,MOD(ROUNDDOWN((ROUNDUP(MAX(4*C24,10)/C24,0)-1)/2,0),2),MOD(ROUNDDOWN((ROUNDUP(MAX(4*C24,7.5)/C24,0)-1)/2,0),2)))</f>
        <v>1</v>
      </c>
      <c r="AI323" s="41">
        <f>IF(C11=1,IF(D5=800,MOD((ROUNDUP(MAX(4*C24,10)/C24,0)-1),2),IF(D5=1066,MOD((ROUNDUP(MAX(4*C24,7.5)/C24,0)-1),2),MOD((ROUNDUP(MAX(4*C24,6)/C24,0)-1),2))),IF(D5&lt;=1066,MOD((ROUNDUP(MAX(4*C24,10)/C24,0)-1),2),MOD((ROUNDUP(MAX(4*C24,7.5)/C24,0)-1),2)))</f>
        <v>1</v>
      </c>
    </row>
    <row r="324" spans="2:36" ht="15" hidden="1" thickBot="1"/>
    <row r="325" spans="2:36" s="22" customFormat="1" ht="15.6" hidden="1">
      <c r="B325" s="17" t="s">
        <v>280</v>
      </c>
      <c r="C325" s="18" t="s">
        <v>6</v>
      </c>
      <c r="D325" s="19">
        <v>31</v>
      </c>
      <c r="E325" s="19">
        <v>30</v>
      </c>
      <c r="F325" s="19">
        <v>29</v>
      </c>
      <c r="G325" s="19">
        <v>28</v>
      </c>
      <c r="H325" s="19">
        <v>27</v>
      </c>
      <c r="I325" s="19">
        <v>26</v>
      </c>
      <c r="J325" s="19">
        <v>25</v>
      </c>
      <c r="K325" s="19">
        <v>24</v>
      </c>
      <c r="L325" s="19">
        <v>23</v>
      </c>
      <c r="M325" s="19">
        <v>22</v>
      </c>
      <c r="N325" s="19">
        <v>21</v>
      </c>
      <c r="O325" s="19">
        <v>20</v>
      </c>
      <c r="P325" s="19">
        <v>19</v>
      </c>
      <c r="Q325" s="19">
        <v>18</v>
      </c>
      <c r="R325" s="19">
        <v>17</v>
      </c>
      <c r="S325" s="19">
        <v>16</v>
      </c>
      <c r="T325" s="19">
        <v>15</v>
      </c>
      <c r="U325" s="19">
        <v>14</v>
      </c>
      <c r="V325" s="19">
        <v>13</v>
      </c>
      <c r="W325" s="19">
        <v>12</v>
      </c>
      <c r="X325" s="19">
        <v>11</v>
      </c>
      <c r="Y325" s="19">
        <v>10</v>
      </c>
      <c r="Z325" s="19">
        <v>9</v>
      </c>
      <c r="AA325" s="19">
        <v>8</v>
      </c>
      <c r="AB325" s="19">
        <v>7</v>
      </c>
      <c r="AC325" s="19">
        <v>6</v>
      </c>
      <c r="AD325" s="19">
        <v>5</v>
      </c>
      <c r="AE325" s="19">
        <v>4</v>
      </c>
      <c r="AF325" s="19">
        <v>3</v>
      </c>
      <c r="AG325" s="19">
        <v>2</v>
      </c>
      <c r="AH325" s="19">
        <v>1</v>
      </c>
      <c r="AI325" s="20">
        <v>0</v>
      </c>
    </row>
    <row r="326" spans="2:36" s="22" customFormat="1" ht="15.75" hidden="1" customHeight="1">
      <c r="B326" s="111" t="s">
        <v>344</v>
      </c>
      <c r="C326" s="124"/>
      <c r="D326" s="122"/>
      <c r="E326" s="122"/>
      <c r="F326" s="122"/>
      <c r="G326" s="122"/>
      <c r="H326" s="122"/>
      <c r="I326" s="122"/>
      <c r="J326" s="122"/>
      <c r="K326" s="122"/>
      <c r="L326" s="122"/>
      <c r="M326" s="122"/>
      <c r="N326" s="122"/>
      <c r="O326" s="120" t="s">
        <v>210</v>
      </c>
      <c r="P326" s="120" t="s">
        <v>211</v>
      </c>
      <c r="Q326" s="120" t="s">
        <v>212</v>
      </c>
      <c r="R326" s="157" t="s">
        <v>213</v>
      </c>
      <c r="S326" s="157"/>
      <c r="T326" s="122"/>
      <c r="U326" s="122"/>
      <c r="V326" s="122"/>
      <c r="W326" s="120" t="s">
        <v>214</v>
      </c>
      <c r="X326" s="120" t="s">
        <v>215</v>
      </c>
      <c r="Y326" s="120" t="s">
        <v>216</v>
      </c>
      <c r="Z326" s="120"/>
      <c r="AA326" s="120" t="s">
        <v>217</v>
      </c>
      <c r="AB326" s="120"/>
      <c r="AC326" s="120"/>
      <c r="AD326" s="120" t="s">
        <v>218</v>
      </c>
      <c r="AE326" s="120" t="s">
        <v>219</v>
      </c>
      <c r="AF326" s="120"/>
      <c r="AG326" s="120" t="s">
        <v>220</v>
      </c>
      <c r="AH326" s="120" t="s">
        <v>221</v>
      </c>
      <c r="AI326" s="155"/>
      <c r="AJ326" s="21"/>
    </row>
    <row r="327" spans="2:36" s="22" customFormat="1" ht="15" hidden="1" customHeight="1">
      <c r="B327" s="112"/>
      <c r="C327" s="124"/>
      <c r="D327" s="123"/>
      <c r="E327" s="123"/>
      <c r="F327" s="123"/>
      <c r="G327" s="123"/>
      <c r="H327" s="123"/>
      <c r="I327" s="123"/>
      <c r="J327" s="123"/>
      <c r="K327" s="123"/>
      <c r="L327" s="123"/>
      <c r="M327" s="123"/>
      <c r="N327" s="123"/>
      <c r="O327" s="121"/>
      <c r="P327" s="121"/>
      <c r="Q327" s="121"/>
      <c r="R327" s="158"/>
      <c r="S327" s="158"/>
      <c r="T327" s="123"/>
      <c r="U327" s="123"/>
      <c r="V327" s="123"/>
      <c r="W327" s="121"/>
      <c r="X327" s="121"/>
      <c r="Y327" s="121"/>
      <c r="Z327" s="121"/>
      <c r="AA327" s="121"/>
      <c r="AB327" s="121"/>
      <c r="AC327" s="121"/>
      <c r="AD327" s="121"/>
      <c r="AE327" s="121"/>
      <c r="AF327" s="121"/>
      <c r="AG327" s="121"/>
      <c r="AH327" s="121"/>
      <c r="AI327" s="156"/>
      <c r="AJ327" s="21"/>
    </row>
    <row r="328" spans="2:36" s="22" customFormat="1" ht="15" hidden="1" thickBot="1">
      <c r="B328" s="23" t="s">
        <v>209</v>
      </c>
      <c r="C328" s="24" t="str">
        <f>BIN2HEX(D328&amp;E328&amp;F328&amp;G328)&amp;BIN2HEX(H328&amp;I328&amp;J328&amp;K328)&amp;BIN2HEX(L328&amp;M328&amp;N328&amp;O328)&amp;BIN2HEX(P328&amp;Q328&amp;R328&amp;S328)&amp;BIN2HEX(T328&amp;U328&amp;V328&amp;W328)&amp;BIN2HEX(X328&amp;Y328&amp;Z328&amp;AA328)&amp;BIN2HEX(AB328&amp;AC328&amp;AD328&amp;AE328)&amp;BIN2HEX(AF328&amp;AG328&amp;AH328&amp;AI328)</f>
        <v>00011740</v>
      </c>
      <c r="D328" s="25">
        <v>0</v>
      </c>
      <c r="E328" s="25">
        <v>0</v>
      </c>
      <c r="F328" s="25">
        <v>0</v>
      </c>
      <c r="G328" s="25">
        <v>0</v>
      </c>
      <c r="H328" s="25">
        <v>0</v>
      </c>
      <c r="I328" s="25">
        <v>0</v>
      </c>
      <c r="J328" s="25">
        <v>0</v>
      </c>
      <c r="K328" s="25">
        <v>0</v>
      </c>
      <c r="L328" s="25">
        <v>0</v>
      </c>
      <c r="M328" s="25">
        <v>0</v>
      </c>
      <c r="N328" s="25">
        <v>0</v>
      </c>
      <c r="O328" s="25">
        <v>0</v>
      </c>
      <c r="P328" s="29">
        <f>IF(C25="Enable",1,0)</f>
        <v>0</v>
      </c>
      <c r="Q328" s="25">
        <v>0</v>
      </c>
      <c r="R328" s="25">
        <v>0</v>
      </c>
      <c r="S328" s="25">
        <v>1</v>
      </c>
      <c r="T328" s="25">
        <v>0</v>
      </c>
      <c r="U328" s="25">
        <v>0</v>
      </c>
      <c r="V328" s="25">
        <v>0</v>
      </c>
      <c r="W328" s="25">
        <v>1</v>
      </c>
      <c r="X328" s="25">
        <v>0</v>
      </c>
      <c r="Y328" s="25">
        <v>1</v>
      </c>
      <c r="Z328" s="25">
        <v>1</v>
      </c>
      <c r="AA328" s="25">
        <v>1</v>
      </c>
      <c r="AB328" s="25">
        <v>0</v>
      </c>
      <c r="AC328" s="25">
        <v>1</v>
      </c>
      <c r="AD328" s="25">
        <v>0</v>
      </c>
      <c r="AE328" s="25">
        <v>0</v>
      </c>
      <c r="AF328" s="25">
        <v>0</v>
      </c>
      <c r="AG328" s="25">
        <v>0</v>
      </c>
      <c r="AH328" s="25">
        <v>0</v>
      </c>
      <c r="AI328" s="26">
        <v>0</v>
      </c>
    </row>
    <row r="329" spans="2:36" ht="15" hidden="1" thickBot="1"/>
    <row r="330" spans="2:36" s="22" customFormat="1" ht="15.6" hidden="1">
      <c r="B330" s="17" t="s">
        <v>280</v>
      </c>
      <c r="C330" s="18" t="s">
        <v>6</v>
      </c>
      <c r="D330" s="19">
        <v>31</v>
      </c>
      <c r="E330" s="19">
        <v>30</v>
      </c>
      <c r="F330" s="19">
        <v>29</v>
      </c>
      <c r="G330" s="19">
        <v>28</v>
      </c>
      <c r="H330" s="19">
        <v>27</v>
      </c>
      <c r="I330" s="19">
        <v>26</v>
      </c>
      <c r="J330" s="19">
        <v>25</v>
      </c>
      <c r="K330" s="19">
        <v>24</v>
      </c>
      <c r="L330" s="19">
        <v>23</v>
      </c>
      <c r="M330" s="19">
        <v>22</v>
      </c>
      <c r="N330" s="19">
        <v>21</v>
      </c>
      <c r="O330" s="19">
        <v>20</v>
      </c>
      <c r="P330" s="19">
        <v>19</v>
      </c>
      <c r="Q330" s="19">
        <v>18</v>
      </c>
      <c r="R330" s="19">
        <v>17</v>
      </c>
      <c r="S330" s="19">
        <v>16</v>
      </c>
      <c r="T330" s="19">
        <v>15</v>
      </c>
      <c r="U330" s="19">
        <v>14</v>
      </c>
      <c r="V330" s="19">
        <v>13</v>
      </c>
      <c r="W330" s="19">
        <v>12</v>
      </c>
      <c r="X330" s="19">
        <v>11</v>
      </c>
      <c r="Y330" s="19">
        <v>10</v>
      </c>
      <c r="Z330" s="19">
        <v>9</v>
      </c>
      <c r="AA330" s="19">
        <v>8</v>
      </c>
      <c r="AB330" s="19">
        <v>7</v>
      </c>
      <c r="AC330" s="19">
        <v>6</v>
      </c>
      <c r="AD330" s="19">
        <v>5</v>
      </c>
      <c r="AE330" s="19">
        <v>4</v>
      </c>
      <c r="AF330" s="19">
        <v>3</v>
      </c>
      <c r="AG330" s="19">
        <v>2</v>
      </c>
      <c r="AH330" s="19">
        <v>1</v>
      </c>
      <c r="AI330" s="20">
        <v>0</v>
      </c>
    </row>
    <row r="331" spans="2:36" s="22" customFormat="1" ht="15.75" hidden="1" customHeight="1">
      <c r="B331" s="111" t="s">
        <v>347</v>
      </c>
      <c r="C331" s="124"/>
      <c r="D331" s="120" t="s">
        <v>225</v>
      </c>
      <c r="E331" s="120"/>
      <c r="F331" s="120"/>
      <c r="G331" s="120"/>
      <c r="H331" s="120"/>
      <c r="I331" s="120"/>
      <c r="J331" s="120"/>
      <c r="K331" s="120"/>
      <c r="L331" s="120" t="s">
        <v>226</v>
      </c>
      <c r="M331" s="120"/>
      <c r="N331" s="120"/>
      <c r="O331" s="120"/>
      <c r="P331" s="120"/>
      <c r="Q331" s="120"/>
      <c r="R331" s="120"/>
      <c r="S331" s="120"/>
      <c r="T331" s="120" t="s">
        <v>227</v>
      </c>
      <c r="U331" s="122"/>
      <c r="V331" s="122"/>
      <c r="W331" s="122"/>
      <c r="X331" s="122"/>
      <c r="Y331" s="122"/>
      <c r="Z331" s="120" t="s">
        <v>228</v>
      </c>
      <c r="AA331" s="122"/>
      <c r="AB331" s="122"/>
      <c r="AC331" s="120" t="s">
        <v>229</v>
      </c>
      <c r="AD331" s="120"/>
      <c r="AE331" s="120"/>
      <c r="AF331" s="120" t="s">
        <v>230</v>
      </c>
      <c r="AG331" s="120" t="s">
        <v>231</v>
      </c>
      <c r="AH331" s="120"/>
      <c r="AI331" s="139"/>
      <c r="AJ331" s="21"/>
    </row>
    <row r="332" spans="2:36" s="22" customFormat="1" ht="15" hidden="1" customHeight="1">
      <c r="B332" s="112"/>
      <c r="C332" s="124"/>
      <c r="D332" s="121"/>
      <c r="E332" s="121"/>
      <c r="F332" s="121"/>
      <c r="G332" s="121"/>
      <c r="H332" s="121"/>
      <c r="I332" s="121"/>
      <c r="J332" s="121"/>
      <c r="K332" s="121"/>
      <c r="L332" s="121"/>
      <c r="M332" s="121"/>
      <c r="N332" s="121"/>
      <c r="O332" s="121"/>
      <c r="P332" s="121"/>
      <c r="Q332" s="121"/>
      <c r="R332" s="121"/>
      <c r="S332" s="121"/>
      <c r="T332" s="121"/>
      <c r="U332" s="123"/>
      <c r="V332" s="123"/>
      <c r="W332" s="123"/>
      <c r="X332" s="123"/>
      <c r="Y332" s="123"/>
      <c r="Z332" s="121"/>
      <c r="AA332" s="123"/>
      <c r="AB332" s="123"/>
      <c r="AC332" s="121"/>
      <c r="AD332" s="121"/>
      <c r="AE332" s="121"/>
      <c r="AF332" s="121"/>
      <c r="AG332" s="121"/>
      <c r="AH332" s="121"/>
      <c r="AI332" s="140"/>
      <c r="AJ332" s="21"/>
    </row>
    <row r="333" spans="2:36" s="22" customFormat="1" ht="15" hidden="1" thickBot="1">
      <c r="B333" s="23" t="s">
        <v>223</v>
      </c>
      <c r="C333" s="24" t="str">
        <f>BIN2HEX(D333&amp;E333&amp;F333&amp;G333)&amp;BIN2HEX(H333&amp;I333&amp;J333&amp;K333)&amp;BIN2HEX(L333&amp;M333&amp;N333&amp;O333)&amp;BIN2HEX(P333&amp;Q333&amp;R333&amp;S333)&amp;BIN2HEX(T333&amp;U333&amp;V333&amp;W333)&amp;BIN2HEX(X333&amp;Y333&amp;Z333&amp;AA333)&amp;BIN2HEX(AB333&amp;AC333&amp;AD333&amp;AE333)&amp;BIN2HEX(AF333&amp;AG333&amp;AH333&amp;AI333)</f>
        <v>00008000</v>
      </c>
      <c r="D333" s="25">
        <v>0</v>
      </c>
      <c r="E333" s="25">
        <v>0</v>
      </c>
      <c r="F333" s="25">
        <v>0</v>
      </c>
      <c r="G333" s="25">
        <v>0</v>
      </c>
      <c r="H333" s="25">
        <v>0</v>
      </c>
      <c r="I333" s="25">
        <v>0</v>
      </c>
      <c r="J333" s="25">
        <v>0</v>
      </c>
      <c r="K333" s="25">
        <v>0</v>
      </c>
      <c r="L333" s="25">
        <v>0</v>
      </c>
      <c r="M333" s="25">
        <v>0</v>
      </c>
      <c r="N333" s="25">
        <v>0</v>
      </c>
      <c r="O333" s="25">
        <v>0</v>
      </c>
      <c r="P333" s="25">
        <v>0</v>
      </c>
      <c r="Q333" s="25">
        <v>0</v>
      </c>
      <c r="R333" s="25">
        <v>0</v>
      </c>
      <c r="S333" s="25">
        <v>0</v>
      </c>
      <c r="T333" s="25">
        <v>1</v>
      </c>
      <c r="U333" s="25">
        <v>0</v>
      </c>
      <c r="V333" s="25">
        <v>0</v>
      </c>
      <c r="W333" s="25">
        <v>0</v>
      </c>
      <c r="X333" s="25">
        <v>0</v>
      </c>
      <c r="Y333" s="25">
        <v>0</v>
      </c>
      <c r="Z333" s="25">
        <v>0</v>
      </c>
      <c r="AA333" s="25">
        <v>0</v>
      </c>
      <c r="AB333" s="25">
        <v>0</v>
      </c>
      <c r="AC333" s="25">
        <v>0</v>
      </c>
      <c r="AD333" s="25">
        <v>0</v>
      </c>
      <c r="AE333" s="25">
        <v>0</v>
      </c>
      <c r="AF333" s="25">
        <v>0</v>
      </c>
      <c r="AG333" s="25">
        <v>0</v>
      </c>
      <c r="AH333" s="25">
        <v>0</v>
      </c>
      <c r="AI333" s="26">
        <v>0</v>
      </c>
    </row>
    <row r="334" spans="2:36" ht="15" hidden="1" thickBot="1"/>
    <row r="335" spans="2:36" s="22" customFormat="1" ht="15.6" hidden="1">
      <c r="B335" s="17" t="s">
        <v>280</v>
      </c>
      <c r="C335" s="18" t="s">
        <v>6</v>
      </c>
      <c r="D335" s="19">
        <v>31</v>
      </c>
      <c r="E335" s="19">
        <v>30</v>
      </c>
      <c r="F335" s="19">
        <v>29</v>
      </c>
      <c r="G335" s="19">
        <v>28</v>
      </c>
      <c r="H335" s="19">
        <v>27</v>
      </c>
      <c r="I335" s="19">
        <v>26</v>
      </c>
      <c r="J335" s="19">
        <v>25</v>
      </c>
      <c r="K335" s="19">
        <v>24</v>
      </c>
      <c r="L335" s="19">
        <v>23</v>
      </c>
      <c r="M335" s="19">
        <v>22</v>
      </c>
      <c r="N335" s="19">
        <v>21</v>
      </c>
      <c r="O335" s="19">
        <v>20</v>
      </c>
      <c r="P335" s="19">
        <v>19</v>
      </c>
      <c r="Q335" s="19">
        <v>18</v>
      </c>
      <c r="R335" s="19">
        <v>17</v>
      </c>
      <c r="S335" s="19">
        <v>16</v>
      </c>
      <c r="T335" s="19">
        <v>15</v>
      </c>
      <c r="U335" s="19">
        <v>14</v>
      </c>
      <c r="V335" s="19">
        <v>13</v>
      </c>
      <c r="W335" s="19">
        <v>12</v>
      </c>
      <c r="X335" s="19">
        <v>11</v>
      </c>
      <c r="Y335" s="19">
        <v>10</v>
      </c>
      <c r="Z335" s="19">
        <v>9</v>
      </c>
      <c r="AA335" s="19">
        <v>8</v>
      </c>
      <c r="AB335" s="19">
        <v>7</v>
      </c>
      <c r="AC335" s="19">
        <v>6</v>
      </c>
      <c r="AD335" s="19">
        <v>5</v>
      </c>
      <c r="AE335" s="19">
        <v>4</v>
      </c>
      <c r="AF335" s="19">
        <v>3</v>
      </c>
      <c r="AG335" s="19">
        <v>2</v>
      </c>
      <c r="AH335" s="19">
        <v>1</v>
      </c>
      <c r="AI335" s="20">
        <v>0</v>
      </c>
    </row>
    <row r="336" spans="2:36" s="22" customFormat="1" ht="15.75" hidden="1" customHeight="1">
      <c r="B336" s="111" t="s">
        <v>350</v>
      </c>
      <c r="C336" s="124"/>
      <c r="D336" s="122"/>
      <c r="E336" s="122"/>
      <c r="F336" s="122"/>
      <c r="G336" s="120" t="s">
        <v>237</v>
      </c>
      <c r="H336" s="120"/>
      <c r="I336" s="120"/>
      <c r="J336" s="120"/>
      <c r="K336" s="120"/>
      <c r="L336" s="120"/>
      <c r="M336" s="120"/>
      <c r="N336" s="120"/>
      <c r="O336" s="120"/>
      <c r="P336" s="120"/>
      <c r="Q336" s="120"/>
      <c r="R336" s="120"/>
      <c r="S336" s="120"/>
      <c r="T336" s="122"/>
      <c r="U336" s="120" t="s">
        <v>232</v>
      </c>
      <c r="V336" s="120"/>
      <c r="W336" s="120"/>
      <c r="X336" s="120" t="s">
        <v>233</v>
      </c>
      <c r="Y336" s="120"/>
      <c r="Z336" s="120"/>
      <c r="AA336" s="120" t="s">
        <v>234</v>
      </c>
      <c r="AB336" s="120"/>
      <c r="AC336" s="120"/>
      <c r="AD336" s="120" t="s">
        <v>235</v>
      </c>
      <c r="AE336" s="120"/>
      <c r="AF336" s="120"/>
      <c r="AG336" s="120" t="s">
        <v>236</v>
      </c>
      <c r="AH336" s="120"/>
      <c r="AI336" s="120"/>
      <c r="AJ336" s="21"/>
    </row>
    <row r="337" spans="2:36" s="22" customFormat="1" ht="15" hidden="1" customHeight="1">
      <c r="B337" s="112"/>
      <c r="C337" s="124"/>
      <c r="D337" s="123"/>
      <c r="E337" s="123"/>
      <c r="F337" s="123"/>
      <c r="G337" s="121"/>
      <c r="H337" s="121"/>
      <c r="I337" s="121"/>
      <c r="J337" s="121"/>
      <c r="K337" s="121"/>
      <c r="L337" s="121"/>
      <c r="M337" s="121"/>
      <c r="N337" s="121"/>
      <c r="O337" s="121"/>
      <c r="P337" s="121"/>
      <c r="Q337" s="121"/>
      <c r="R337" s="121"/>
      <c r="S337" s="121"/>
      <c r="T337" s="123"/>
      <c r="U337" s="121"/>
      <c r="V337" s="121"/>
      <c r="W337" s="121"/>
      <c r="X337" s="121"/>
      <c r="Y337" s="121"/>
      <c r="Z337" s="121"/>
      <c r="AA337" s="121"/>
      <c r="AB337" s="121"/>
      <c r="AC337" s="121"/>
      <c r="AD337" s="121"/>
      <c r="AE337" s="121"/>
      <c r="AF337" s="121"/>
      <c r="AG337" s="121"/>
      <c r="AH337" s="121"/>
      <c r="AI337" s="121"/>
      <c r="AJ337" s="21"/>
    </row>
    <row r="338" spans="2:36" s="22" customFormat="1" ht="15" hidden="1" thickBot="1">
      <c r="B338" s="23" t="s">
        <v>222</v>
      </c>
      <c r="C338" s="24" t="str">
        <f>BIN2HEX(D338&amp;E338&amp;F338&amp;G338)&amp;BIN2HEX(H338&amp;I338&amp;J338&amp;K338)&amp;BIN2HEX(L338&amp;M338&amp;N338&amp;O338)&amp;BIN2HEX(P338&amp;Q338&amp;R338&amp;S338)&amp;BIN2HEX(T338&amp;U338&amp;V338&amp;W338)&amp;BIN2HEX(X338&amp;Y338&amp;Z338&amp;AA338)&amp;BIN2HEX(AB338&amp;AC338&amp;AD338&amp;AE338)&amp;BIN2HEX(AF338&amp;AG338&amp;AH338&amp;AI338)</f>
        <v>000026D2</v>
      </c>
      <c r="D338" s="25">
        <v>0</v>
      </c>
      <c r="E338" s="25">
        <v>0</v>
      </c>
      <c r="F338" s="25">
        <v>0</v>
      </c>
      <c r="G338" s="25">
        <v>0</v>
      </c>
      <c r="H338" s="25">
        <v>0</v>
      </c>
      <c r="I338" s="25">
        <v>0</v>
      </c>
      <c r="J338" s="25">
        <v>0</v>
      </c>
      <c r="K338" s="25">
        <v>0</v>
      </c>
      <c r="L338" s="25">
        <v>0</v>
      </c>
      <c r="M338" s="25">
        <v>0</v>
      </c>
      <c r="N338" s="25">
        <v>0</v>
      </c>
      <c r="O338" s="25">
        <v>0</v>
      </c>
      <c r="P338" s="25">
        <v>0</v>
      </c>
      <c r="Q338" s="25">
        <v>0</v>
      </c>
      <c r="R338" s="25">
        <v>0</v>
      </c>
      <c r="S338" s="25">
        <v>0</v>
      </c>
      <c r="T338" s="25">
        <v>0</v>
      </c>
      <c r="U338" s="25">
        <v>0</v>
      </c>
      <c r="V338" s="25">
        <v>1</v>
      </c>
      <c r="W338" s="25">
        <v>0</v>
      </c>
      <c r="X338" s="25">
        <v>0</v>
      </c>
      <c r="Y338" s="25">
        <v>1</v>
      </c>
      <c r="Z338" s="25">
        <v>1</v>
      </c>
      <c r="AA338" s="25">
        <v>0</v>
      </c>
      <c r="AB338" s="25">
        <v>1</v>
      </c>
      <c r="AC338" s="25">
        <v>1</v>
      </c>
      <c r="AD338" s="25">
        <v>0</v>
      </c>
      <c r="AE338" s="25">
        <v>1</v>
      </c>
      <c r="AF338" s="25">
        <v>0</v>
      </c>
      <c r="AG338" s="25">
        <v>0</v>
      </c>
      <c r="AH338" s="25">
        <v>1</v>
      </c>
      <c r="AI338" s="26">
        <v>0</v>
      </c>
    </row>
    <row r="339" spans="2:36" ht="15" hidden="1" thickBot="1"/>
    <row r="340" spans="2:36" s="22" customFormat="1" ht="15.6" hidden="1">
      <c r="B340" s="17" t="s">
        <v>280</v>
      </c>
      <c r="C340" s="18" t="s">
        <v>6</v>
      </c>
      <c r="D340" s="19">
        <v>31</v>
      </c>
      <c r="E340" s="19">
        <v>30</v>
      </c>
      <c r="F340" s="19">
        <v>29</v>
      </c>
      <c r="G340" s="19">
        <v>28</v>
      </c>
      <c r="H340" s="19">
        <v>27</v>
      </c>
      <c r="I340" s="19">
        <v>26</v>
      </c>
      <c r="J340" s="19">
        <v>25</v>
      </c>
      <c r="K340" s="19">
        <v>24</v>
      </c>
      <c r="L340" s="19">
        <v>23</v>
      </c>
      <c r="M340" s="19">
        <v>22</v>
      </c>
      <c r="N340" s="19">
        <v>21</v>
      </c>
      <c r="O340" s="19">
        <v>20</v>
      </c>
      <c r="P340" s="19">
        <v>19</v>
      </c>
      <c r="Q340" s="19">
        <v>18</v>
      </c>
      <c r="R340" s="19">
        <v>17</v>
      </c>
      <c r="S340" s="19">
        <v>16</v>
      </c>
      <c r="T340" s="19">
        <v>15</v>
      </c>
      <c r="U340" s="19">
        <v>14</v>
      </c>
      <c r="V340" s="19">
        <v>13</v>
      </c>
      <c r="W340" s="19">
        <v>12</v>
      </c>
      <c r="X340" s="19">
        <v>11</v>
      </c>
      <c r="Y340" s="19">
        <v>10</v>
      </c>
      <c r="Z340" s="19">
        <v>9</v>
      </c>
      <c r="AA340" s="19">
        <v>8</v>
      </c>
      <c r="AB340" s="19">
        <v>7</v>
      </c>
      <c r="AC340" s="19">
        <v>6</v>
      </c>
      <c r="AD340" s="19">
        <v>5</v>
      </c>
      <c r="AE340" s="19">
        <v>4</v>
      </c>
      <c r="AF340" s="19">
        <v>3</v>
      </c>
      <c r="AG340" s="19">
        <v>2</v>
      </c>
      <c r="AH340" s="19">
        <v>1</v>
      </c>
      <c r="AI340" s="20">
        <v>0</v>
      </c>
    </row>
    <row r="341" spans="2:36" s="22" customFormat="1" ht="15.75" hidden="1" customHeight="1">
      <c r="B341" s="111" t="s">
        <v>348</v>
      </c>
      <c r="C341" s="124"/>
      <c r="D341" s="122"/>
      <c r="E341" s="122"/>
      <c r="F341" s="122"/>
      <c r="G341" s="122"/>
      <c r="H341" s="122"/>
      <c r="I341" s="122"/>
      <c r="J341" s="122"/>
      <c r="K341" s="122"/>
      <c r="L341" s="120" t="s">
        <v>241</v>
      </c>
      <c r="M341" s="120"/>
      <c r="N341" s="120"/>
      <c r="O341" s="120"/>
      <c r="P341" s="120"/>
      <c r="Q341" s="120"/>
      <c r="R341" s="120"/>
      <c r="S341" s="120"/>
      <c r="T341" s="122"/>
      <c r="U341" s="122"/>
      <c r="V341" s="120" t="s">
        <v>239</v>
      </c>
      <c r="W341" s="120"/>
      <c r="X341" s="120"/>
      <c r="Y341" s="120"/>
      <c r="Z341" s="120"/>
      <c r="AA341" s="120"/>
      <c r="AB341" s="122"/>
      <c r="AC341" s="122"/>
      <c r="AD341" s="120" t="s">
        <v>240</v>
      </c>
      <c r="AE341" s="120"/>
      <c r="AF341" s="120"/>
      <c r="AG341" s="120"/>
      <c r="AH341" s="120"/>
      <c r="AI341" s="120"/>
      <c r="AJ341" s="21"/>
    </row>
    <row r="342" spans="2:36" s="22" customFormat="1" ht="15" hidden="1" customHeight="1">
      <c r="B342" s="112"/>
      <c r="C342" s="124"/>
      <c r="D342" s="123"/>
      <c r="E342" s="123"/>
      <c r="F342" s="123"/>
      <c r="G342" s="123"/>
      <c r="H342" s="123"/>
      <c r="I342" s="123"/>
      <c r="J342" s="123"/>
      <c r="K342" s="123"/>
      <c r="L342" s="121"/>
      <c r="M342" s="121"/>
      <c r="N342" s="121"/>
      <c r="O342" s="121"/>
      <c r="P342" s="121"/>
      <c r="Q342" s="121"/>
      <c r="R342" s="121"/>
      <c r="S342" s="121"/>
      <c r="T342" s="123"/>
      <c r="U342" s="123"/>
      <c r="V342" s="121"/>
      <c r="W342" s="121"/>
      <c r="X342" s="121"/>
      <c r="Y342" s="121"/>
      <c r="Z342" s="121"/>
      <c r="AA342" s="121"/>
      <c r="AB342" s="123"/>
      <c r="AC342" s="123"/>
      <c r="AD342" s="121"/>
      <c r="AE342" s="121"/>
      <c r="AF342" s="121"/>
      <c r="AG342" s="121"/>
      <c r="AH342" s="121"/>
      <c r="AI342" s="121"/>
      <c r="AJ342" s="21"/>
    </row>
    <row r="343" spans="2:36" s="22" customFormat="1" ht="15" hidden="1" thickBot="1">
      <c r="B343" s="23" t="s">
        <v>238</v>
      </c>
      <c r="C343" s="24" t="str">
        <f>BIN2HEX(D343&amp;E343&amp;F343&amp;G343)&amp;BIN2HEX(H343&amp;I343&amp;J343&amp;K343)&amp;BIN2HEX(L343&amp;M343&amp;N343&amp;O343)&amp;BIN2HEX(P343&amp;Q343&amp;R343&amp;S343)&amp;BIN2HEX(T343&amp;U343&amp;V343&amp;W343)&amp;BIN2HEX(X343&amp;Y343&amp;Z343&amp;AA343)&amp;BIN2HEX(AB343&amp;AC343&amp;AD343&amp;AE343)&amp;BIN2HEX(AF343&amp;AG343&amp;AH343&amp;AI343)</f>
        <v>00BE1023</v>
      </c>
      <c r="D343" s="25">
        <v>0</v>
      </c>
      <c r="E343" s="25">
        <v>0</v>
      </c>
      <c r="F343" s="25">
        <v>0</v>
      </c>
      <c r="G343" s="25">
        <v>0</v>
      </c>
      <c r="H343" s="25">
        <v>0</v>
      </c>
      <c r="I343" s="25">
        <v>0</v>
      </c>
      <c r="J343" s="25">
        <v>0</v>
      </c>
      <c r="K343" s="25">
        <v>0</v>
      </c>
      <c r="L343" s="29">
        <f t="shared" ref="L343:S343" si="0">L313</f>
        <v>1</v>
      </c>
      <c r="M343" s="29">
        <f t="shared" si="0"/>
        <v>0</v>
      </c>
      <c r="N343" s="29">
        <f t="shared" si="0"/>
        <v>1</v>
      </c>
      <c r="O343" s="29">
        <f t="shared" si="0"/>
        <v>1</v>
      </c>
      <c r="P343" s="29">
        <f t="shared" si="0"/>
        <v>1</v>
      </c>
      <c r="Q343" s="29">
        <f t="shared" si="0"/>
        <v>1</v>
      </c>
      <c r="R343" s="29">
        <f t="shared" si="0"/>
        <v>1</v>
      </c>
      <c r="S343" s="29">
        <f t="shared" si="0"/>
        <v>0</v>
      </c>
      <c r="T343" s="25">
        <v>0</v>
      </c>
      <c r="U343" s="25">
        <v>0</v>
      </c>
      <c r="V343" s="25">
        <v>0</v>
      </c>
      <c r="W343" s="25">
        <v>1</v>
      </c>
      <c r="X343" s="25">
        <v>0</v>
      </c>
      <c r="Y343" s="25">
        <v>0</v>
      </c>
      <c r="Z343" s="25">
        <v>0</v>
      </c>
      <c r="AA343" s="25">
        <v>0</v>
      </c>
      <c r="AB343" s="25">
        <v>0</v>
      </c>
      <c r="AC343" s="25">
        <v>0</v>
      </c>
      <c r="AD343" s="25">
        <v>1</v>
      </c>
      <c r="AE343" s="25">
        <v>0</v>
      </c>
      <c r="AF343" s="25">
        <v>0</v>
      </c>
      <c r="AG343" s="25">
        <v>0</v>
      </c>
      <c r="AH343" s="25">
        <v>1</v>
      </c>
      <c r="AI343" s="26">
        <v>1</v>
      </c>
    </row>
    <row r="344" spans="2:36" ht="15" hidden="1" thickBot="1"/>
    <row r="345" spans="2:36" s="22" customFormat="1" ht="15.6" hidden="1">
      <c r="B345" s="17" t="s">
        <v>280</v>
      </c>
      <c r="C345" s="18" t="s">
        <v>6</v>
      </c>
      <c r="D345" s="19">
        <v>31</v>
      </c>
      <c r="E345" s="19">
        <v>30</v>
      </c>
      <c r="F345" s="19">
        <v>29</v>
      </c>
      <c r="G345" s="19">
        <v>28</v>
      </c>
      <c r="H345" s="19">
        <v>27</v>
      </c>
      <c r="I345" s="19">
        <v>26</v>
      </c>
      <c r="J345" s="19">
        <v>25</v>
      </c>
      <c r="K345" s="19">
        <v>24</v>
      </c>
      <c r="L345" s="19">
        <v>23</v>
      </c>
      <c r="M345" s="19">
        <v>22</v>
      </c>
      <c r="N345" s="19">
        <v>21</v>
      </c>
      <c r="O345" s="19">
        <v>20</v>
      </c>
      <c r="P345" s="19">
        <v>19</v>
      </c>
      <c r="Q345" s="19">
        <v>18</v>
      </c>
      <c r="R345" s="19">
        <v>17</v>
      </c>
      <c r="S345" s="19">
        <v>16</v>
      </c>
      <c r="T345" s="19">
        <v>15</v>
      </c>
      <c r="U345" s="19">
        <v>14</v>
      </c>
      <c r="V345" s="19">
        <v>13</v>
      </c>
      <c r="W345" s="19">
        <v>12</v>
      </c>
      <c r="X345" s="19">
        <v>11</v>
      </c>
      <c r="Y345" s="19">
        <v>10</v>
      </c>
      <c r="Z345" s="19">
        <v>9</v>
      </c>
      <c r="AA345" s="19">
        <v>8</v>
      </c>
      <c r="AB345" s="19">
        <v>7</v>
      </c>
      <c r="AC345" s="19">
        <v>6</v>
      </c>
      <c r="AD345" s="19">
        <v>5</v>
      </c>
      <c r="AE345" s="19">
        <v>4</v>
      </c>
      <c r="AF345" s="19">
        <v>3</v>
      </c>
      <c r="AG345" s="19">
        <v>2</v>
      </c>
      <c r="AH345" s="19">
        <v>1</v>
      </c>
      <c r="AI345" s="20">
        <v>0</v>
      </c>
    </row>
    <row r="346" spans="2:36" s="22" customFormat="1" ht="15.75" hidden="1" customHeight="1">
      <c r="B346" s="111" t="s">
        <v>351</v>
      </c>
      <c r="C346" s="124"/>
      <c r="D346" s="122"/>
      <c r="E346" s="122"/>
      <c r="F346" s="122"/>
      <c r="G346" s="122"/>
      <c r="H346" s="122"/>
      <c r="I346" s="122"/>
      <c r="J346" s="122"/>
      <c r="K346" s="122"/>
      <c r="L346" s="122"/>
      <c r="M346" s="122"/>
      <c r="N346" s="122"/>
      <c r="O346" s="122"/>
      <c r="P346" s="122"/>
      <c r="Q346" s="122"/>
      <c r="R346" s="122"/>
      <c r="S346" s="122"/>
      <c r="T346" s="122"/>
      <c r="U346" s="122"/>
      <c r="V346" s="122"/>
      <c r="W346" s="122"/>
      <c r="X346" s="122"/>
      <c r="Y346" s="122"/>
      <c r="Z346" s="122"/>
      <c r="AA346" s="122"/>
      <c r="AB346" s="122"/>
      <c r="AC346" s="120" t="s">
        <v>242</v>
      </c>
      <c r="AD346" s="120"/>
      <c r="AE346" s="120"/>
      <c r="AF346" s="120"/>
      <c r="AG346" s="120"/>
      <c r="AH346" s="120"/>
      <c r="AI346" s="120"/>
      <c r="AJ346" s="21"/>
    </row>
    <row r="347" spans="2:36" s="22" customFormat="1" ht="15" hidden="1" customHeight="1">
      <c r="B347" s="112"/>
      <c r="C347" s="124"/>
      <c r="D347" s="123"/>
      <c r="E347" s="123"/>
      <c r="F347" s="123"/>
      <c r="G347" s="123"/>
      <c r="H347" s="123"/>
      <c r="I347" s="123"/>
      <c r="J347" s="123"/>
      <c r="K347" s="123"/>
      <c r="L347" s="123"/>
      <c r="M347" s="123"/>
      <c r="N347" s="123"/>
      <c r="O347" s="123"/>
      <c r="P347" s="123"/>
      <c r="Q347" s="123"/>
      <c r="R347" s="123"/>
      <c r="S347" s="123"/>
      <c r="T347" s="123"/>
      <c r="U347" s="123"/>
      <c r="V347" s="123"/>
      <c r="W347" s="123"/>
      <c r="X347" s="123"/>
      <c r="Y347" s="123"/>
      <c r="Z347" s="123"/>
      <c r="AA347" s="123"/>
      <c r="AB347" s="123"/>
      <c r="AC347" s="121"/>
      <c r="AD347" s="121"/>
      <c r="AE347" s="121"/>
      <c r="AF347" s="121"/>
      <c r="AG347" s="121"/>
      <c r="AH347" s="121"/>
      <c r="AI347" s="121"/>
      <c r="AJ347" s="21"/>
    </row>
    <row r="348" spans="2:36" s="22" customFormat="1" ht="15" hidden="1" thickBot="1">
      <c r="B348" s="23" t="s">
        <v>243</v>
      </c>
      <c r="C348" s="24" t="str">
        <f>BIN2HEX(D348&amp;E348&amp;F348&amp;G348)&amp;BIN2HEX(H348&amp;I348&amp;J348&amp;K348)&amp;BIN2HEX(L348&amp;M348&amp;N348&amp;O348)&amp;BIN2HEX(P348&amp;Q348&amp;R348&amp;S348)&amp;BIN2HEX(T348&amp;U348&amp;V348&amp;W348)&amp;BIN2HEX(X348&amp;Y348&amp;Z348&amp;AA348)&amp;BIN2HEX(AB348&amp;AC348&amp;AD348&amp;AE348)&amp;BIN2HEX(AF348&amp;AG348&amp;AH348&amp;AI348)</f>
        <v>0000007F</v>
      </c>
      <c r="D348" s="25">
        <v>0</v>
      </c>
      <c r="E348" s="25">
        <v>0</v>
      </c>
      <c r="F348" s="25">
        <v>0</v>
      </c>
      <c r="G348" s="25">
        <v>0</v>
      </c>
      <c r="H348" s="25">
        <v>0</v>
      </c>
      <c r="I348" s="25">
        <v>0</v>
      </c>
      <c r="J348" s="25">
        <v>0</v>
      </c>
      <c r="K348" s="25">
        <v>0</v>
      </c>
      <c r="L348" s="25">
        <v>0</v>
      </c>
      <c r="M348" s="25">
        <v>0</v>
      </c>
      <c r="N348" s="25">
        <v>0</v>
      </c>
      <c r="O348" s="25">
        <v>0</v>
      </c>
      <c r="P348" s="25">
        <v>0</v>
      </c>
      <c r="Q348" s="25">
        <v>0</v>
      </c>
      <c r="R348" s="25">
        <v>0</v>
      </c>
      <c r="S348" s="25">
        <v>0</v>
      </c>
      <c r="T348" s="25">
        <v>0</v>
      </c>
      <c r="U348" s="25">
        <v>0</v>
      </c>
      <c r="V348" s="25">
        <v>0</v>
      </c>
      <c r="W348" s="25">
        <v>0</v>
      </c>
      <c r="X348" s="25">
        <v>0</v>
      </c>
      <c r="Y348" s="25">
        <v>0</v>
      </c>
      <c r="Z348" s="25">
        <v>0</v>
      </c>
      <c r="AA348" s="25">
        <v>0</v>
      </c>
      <c r="AB348" s="25">
        <v>0</v>
      </c>
      <c r="AC348" s="29">
        <f>IF(4*C20&lt;=120,MOD(ROUNDDOWN((4*C20+7)/64,0),2),MOD(ROUNDDOWN(127/64,0),2))</f>
        <v>1</v>
      </c>
      <c r="AD348" s="29">
        <f>IF(4*C20&lt;=120,MOD(ROUNDDOWN((4*C20+7)/32,0),2),MOD(ROUNDDOWN(127/32,0),2))</f>
        <v>1</v>
      </c>
      <c r="AE348" s="29">
        <f>IF(4*C20&lt;=120,MOD(ROUNDDOWN((4*C20+7)/16,0),2),MOD(ROUNDDOWN(127/16,0),2))</f>
        <v>1</v>
      </c>
      <c r="AF348" s="29">
        <f>IF(4*C20&lt;=120,MOD(ROUNDDOWN((4*C20+7)/8,0),2),MOD(ROUNDDOWN(127/8,0),2))</f>
        <v>1</v>
      </c>
      <c r="AG348" s="29">
        <f>IF(4*C20&lt;=120,MOD(ROUNDDOWN((4*C20+7)/4,0),2),MOD(ROUNDDOWN(127/4,0),2))</f>
        <v>1</v>
      </c>
      <c r="AH348" s="29">
        <f>IF(4*C20&lt;=120,MOD(ROUNDDOWN((4*C20+7)/2,0),2),MOD(ROUNDDOWN(127/2,0),2))</f>
        <v>1</v>
      </c>
      <c r="AI348" s="41">
        <f>IF(4*C20&lt;=120,MOD(4*C20+7,2),MOD(127,2))</f>
        <v>1</v>
      </c>
    </row>
    <row r="349" spans="2:36" ht="15" hidden="1" thickBot="1"/>
    <row r="350" spans="2:36" s="22" customFormat="1" ht="15.6" hidden="1">
      <c r="B350" s="17" t="s">
        <v>280</v>
      </c>
      <c r="C350" s="18" t="s">
        <v>6</v>
      </c>
      <c r="D350" s="19">
        <v>31</v>
      </c>
      <c r="E350" s="19">
        <v>30</v>
      </c>
      <c r="F350" s="19">
        <v>29</v>
      </c>
      <c r="G350" s="19">
        <v>28</v>
      </c>
      <c r="H350" s="19">
        <v>27</v>
      </c>
      <c r="I350" s="19">
        <v>26</v>
      </c>
      <c r="J350" s="19">
        <v>25</v>
      </c>
      <c r="K350" s="19">
        <v>24</v>
      </c>
      <c r="L350" s="19">
        <v>23</v>
      </c>
      <c r="M350" s="19">
        <v>22</v>
      </c>
      <c r="N350" s="19">
        <v>21</v>
      </c>
      <c r="O350" s="19">
        <v>20</v>
      </c>
      <c r="P350" s="19">
        <v>19</v>
      </c>
      <c r="Q350" s="19">
        <v>18</v>
      </c>
      <c r="R350" s="19">
        <v>17</v>
      </c>
      <c r="S350" s="19">
        <v>16</v>
      </c>
      <c r="T350" s="19">
        <v>15</v>
      </c>
      <c r="U350" s="19">
        <v>14</v>
      </c>
      <c r="V350" s="19">
        <v>13</v>
      </c>
      <c r="W350" s="19">
        <v>12</v>
      </c>
      <c r="X350" s="19">
        <v>11</v>
      </c>
      <c r="Y350" s="19">
        <v>10</v>
      </c>
      <c r="Z350" s="19">
        <v>9</v>
      </c>
      <c r="AA350" s="19">
        <v>8</v>
      </c>
      <c r="AB350" s="19">
        <v>7</v>
      </c>
      <c r="AC350" s="19">
        <v>6</v>
      </c>
      <c r="AD350" s="19">
        <v>5</v>
      </c>
      <c r="AE350" s="19">
        <v>4</v>
      </c>
      <c r="AF350" s="19">
        <v>3</v>
      </c>
      <c r="AG350" s="19">
        <v>2</v>
      </c>
      <c r="AH350" s="19">
        <v>1</v>
      </c>
      <c r="AI350" s="20">
        <v>0</v>
      </c>
    </row>
    <row r="351" spans="2:36" s="22" customFormat="1" ht="15.75" hidden="1" customHeight="1">
      <c r="B351" s="111" t="s">
        <v>352</v>
      </c>
      <c r="C351" s="124"/>
      <c r="D351" s="120" t="s">
        <v>245</v>
      </c>
      <c r="E351" s="120" t="s">
        <v>246</v>
      </c>
      <c r="F351" s="122"/>
      <c r="G351" s="122"/>
      <c r="H351" s="122"/>
      <c r="I351" s="120" t="s">
        <v>247</v>
      </c>
      <c r="J351" s="120"/>
      <c r="K351" s="120"/>
      <c r="L351" s="122"/>
      <c r="M351" s="120" t="s">
        <v>248</v>
      </c>
      <c r="N351" s="120"/>
      <c r="O351" s="120"/>
      <c r="P351" s="120" t="s">
        <v>249</v>
      </c>
      <c r="Q351" s="122"/>
      <c r="R351" s="120" t="s">
        <v>563</v>
      </c>
      <c r="S351" s="120"/>
      <c r="T351" s="122"/>
      <c r="U351" s="122"/>
      <c r="V351" s="122"/>
      <c r="W351" s="122"/>
      <c r="X351" s="122"/>
      <c r="Y351" s="122"/>
      <c r="Z351" s="122"/>
      <c r="AA351" s="122"/>
      <c r="AB351" s="122"/>
      <c r="AC351" s="122"/>
      <c r="AD351" s="122"/>
      <c r="AE351" s="122"/>
      <c r="AF351" s="122"/>
      <c r="AG351" s="122"/>
      <c r="AH351" s="122"/>
      <c r="AI351" s="122"/>
      <c r="AJ351" s="21"/>
    </row>
    <row r="352" spans="2:36" s="22" customFormat="1" ht="15" hidden="1" customHeight="1">
      <c r="B352" s="112"/>
      <c r="C352" s="124"/>
      <c r="D352" s="121"/>
      <c r="E352" s="121"/>
      <c r="F352" s="123"/>
      <c r="G352" s="123"/>
      <c r="H352" s="123"/>
      <c r="I352" s="121"/>
      <c r="J352" s="121"/>
      <c r="K352" s="121"/>
      <c r="L352" s="123"/>
      <c r="M352" s="121"/>
      <c r="N352" s="121"/>
      <c r="O352" s="121"/>
      <c r="P352" s="121"/>
      <c r="Q352" s="123"/>
      <c r="R352" s="121"/>
      <c r="S352" s="121"/>
      <c r="T352" s="123"/>
      <c r="U352" s="123"/>
      <c r="V352" s="123"/>
      <c r="W352" s="123"/>
      <c r="X352" s="123"/>
      <c r="Y352" s="123"/>
      <c r="Z352" s="123"/>
      <c r="AA352" s="123"/>
      <c r="AB352" s="123"/>
      <c r="AC352" s="123"/>
      <c r="AD352" s="123"/>
      <c r="AE352" s="123"/>
      <c r="AF352" s="123"/>
      <c r="AG352" s="123"/>
      <c r="AH352" s="123"/>
      <c r="AI352" s="123"/>
      <c r="AJ352" s="21"/>
    </row>
    <row r="353" spans="2:36" s="22" customFormat="1" ht="15" hidden="1" thickBot="1">
      <c r="B353" s="23" t="s">
        <v>244</v>
      </c>
      <c r="C353" s="24" t="str">
        <f>BIN2HEX(D353&amp;E353&amp;F353&amp;G353)&amp;BIN2HEX(H353&amp;I353&amp;J353&amp;K353)&amp;BIN2HEX(L353&amp;M353&amp;N353&amp;O353)&amp;BIN2HEX(P353&amp;Q353&amp;R353&amp;S353)&amp;BIN2HEX(T353&amp;U353&amp;V353&amp;W353)&amp;BIN2HEX(X353&amp;Y353&amp;Z353&amp;AA353)&amp;BIN2HEX(AB353&amp;AC353&amp;AD353&amp;AE353)&amp;BIN2HEX(AF353&amp;AG353&amp;AH353&amp;AI353)</f>
        <v>851A0000</v>
      </c>
      <c r="D353" s="25">
        <v>1</v>
      </c>
      <c r="E353" s="29">
        <f>IF(C21=2,1,0)</f>
        <v>0</v>
      </c>
      <c r="F353" s="25">
        <v>0</v>
      </c>
      <c r="G353" s="25">
        <v>0</v>
      </c>
      <c r="H353" s="25">
        <v>0</v>
      </c>
      <c r="I353" s="29">
        <f>MOD(ROUNDDOWN((C9-11)/4,0),2)</f>
        <v>1</v>
      </c>
      <c r="J353" s="29">
        <f>MOD(ROUNDDOWN((C9-11)/2,0),2)</f>
        <v>0</v>
      </c>
      <c r="K353" s="29">
        <f>MOD(C9-11,2)</f>
        <v>1</v>
      </c>
      <c r="L353" s="25">
        <v>0</v>
      </c>
      <c r="M353" s="29">
        <f>MOD(ROUNDDOWN((C10-9)/4,0),2)</f>
        <v>0</v>
      </c>
      <c r="N353" s="29">
        <f>MOD(ROUNDDOWN((C10-9)/2,0),2)</f>
        <v>0</v>
      </c>
      <c r="O353" s="29">
        <f>MOD(C10-9,2)</f>
        <v>1</v>
      </c>
      <c r="P353" s="25">
        <v>1</v>
      </c>
      <c r="Q353" s="25">
        <v>0</v>
      </c>
      <c r="R353" s="29">
        <f>IF(C19=64,MOD(ROUNDDOWN(2/2,0),2),IF(C19=32,MOD(ROUNDDOWN(1/2,0),2),MOD(ROUNDDOWN(0/2,0),2)))</f>
        <v>1</v>
      </c>
      <c r="S353" s="29">
        <f>IF(C19=64,MOD(2,2),IF(C19=32,MOD(1,2),MOD(0,2)))</f>
        <v>0</v>
      </c>
      <c r="T353" s="25">
        <v>0</v>
      </c>
      <c r="U353" s="25">
        <v>0</v>
      </c>
      <c r="V353" s="25">
        <v>0</v>
      </c>
      <c r="W353" s="25">
        <v>0</v>
      </c>
      <c r="X353" s="25">
        <v>0</v>
      </c>
      <c r="Y353" s="25">
        <v>0</v>
      </c>
      <c r="Z353" s="25">
        <v>0</v>
      </c>
      <c r="AA353" s="25">
        <v>0</v>
      </c>
      <c r="AB353" s="25">
        <v>0</v>
      </c>
      <c r="AC353" s="25">
        <v>0</v>
      </c>
      <c r="AD353" s="25">
        <v>0</v>
      </c>
      <c r="AE353" s="25">
        <v>0</v>
      </c>
      <c r="AF353" s="25">
        <v>0</v>
      </c>
      <c r="AG353" s="25">
        <v>0</v>
      </c>
      <c r="AH353" s="25">
        <v>0</v>
      </c>
      <c r="AI353" s="26">
        <v>0</v>
      </c>
    </row>
    <row r="354" spans="2:36" ht="15" hidden="1" thickBot="1"/>
    <row r="355" spans="2:36" s="22" customFormat="1" ht="15.6" hidden="1">
      <c r="B355" s="42" t="s">
        <v>224</v>
      </c>
      <c r="C355" s="43" t="s">
        <v>6</v>
      </c>
      <c r="D355" s="44">
        <v>31</v>
      </c>
      <c r="E355" s="19">
        <v>30</v>
      </c>
      <c r="F355" s="19">
        <v>29</v>
      </c>
      <c r="G355" s="19">
        <v>28</v>
      </c>
      <c r="H355" s="19">
        <v>27</v>
      </c>
      <c r="I355" s="19">
        <v>26</v>
      </c>
      <c r="J355" s="19">
        <v>25</v>
      </c>
      <c r="K355" s="19">
        <v>24</v>
      </c>
      <c r="L355" s="19">
        <v>23</v>
      </c>
      <c r="M355" s="19">
        <v>22</v>
      </c>
      <c r="N355" s="19">
        <v>21</v>
      </c>
      <c r="O355" s="19">
        <v>20</v>
      </c>
      <c r="P355" s="19">
        <v>19</v>
      </c>
      <c r="Q355" s="19">
        <v>18</v>
      </c>
      <c r="R355" s="19">
        <v>17</v>
      </c>
      <c r="S355" s="19">
        <v>16</v>
      </c>
      <c r="T355" s="19">
        <v>15</v>
      </c>
      <c r="U355" s="19">
        <v>14</v>
      </c>
      <c r="V355" s="19">
        <v>13</v>
      </c>
      <c r="W355" s="19">
        <v>12</v>
      </c>
      <c r="X355" s="19">
        <v>11</v>
      </c>
      <c r="Y355" s="19">
        <v>10</v>
      </c>
      <c r="Z355" s="19">
        <v>9</v>
      </c>
      <c r="AA355" s="19">
        <v>8</v>
      </c>
      <c r="AB355" s="19">
        <v>7</v>
      </c>
      <c r="AC355" s="19">
        <v>6</v>
      </c>
      <c r="AD355" s="19">
        <v>5</v>
      </c>
      <c r="AE355" s="19">
        <v>4</v>
      </c>
      <c r="AF355" s="19">
        <v>3</v>
      </c>
      <c r="AG355" s="19">
        <v>2</v>
      </c>
      <c r="AH355" s="19">
        <v>1</v>
      </c>
      <c r="AI355" s="20">
        <v>0</v>
      </c>
    </row>
    <row r="356" spans="2:36" s="22" customFormat="1" ht="15.75" hidden="1" customHeight="1">
      <c r="B356" s="180" t="s">
        <v>223</v>
      </c>
      <c r="C356" s="181"/>
      <c r="D356" s="161" t="s">
        <v>225</v>
      </c>
      <c r="E356" s="159"/>
      <c r="F356" s="159"/>
      <c r="G356" s="159"/>
      <c r="H356" s="159"/>
      <c r="I356" s="159"/>
      <c r="J356" s="159"/>
      <c r="K356" s="159"/>
      <c r="L356" s="159" t="s">
        <v>226</v>
      </c>
      <c r="M356" s="159"/>
      <c r="N356" s="159"/>
      <c r="O356" s="159"/>
      <c r="P356" s="159"/>
      <c r="Q356" s="159"/>
      <c r="R356" s="159"/>
      <c r="S356" s="159"/>
      <c r="T356" s="159" t="s">
        <v>227</v>
      </c>
      <c r="U356" s="108"/>
      <c r="V356" s="108"/>
      <c r="W356" s="108"/>
      <c r="X356" s="108"/>
      <c r="Y356" s="108"/>
      <c r="Z356" s="159" t="s">
        <v>228</v>
      </c>
      <c r="AA356" s="108"/>
      <c r="AB356" s="108"/>
      <c r="AC356" s="159" t="s">
        <v>229</v>
      </c>
      <c r="AD356" s="159"/>
      <c r="AE356" s="159"/>
      <c r="AF356" s="159" t="s">
        <v>230</v>
      </c>
      <c r="AG356" s="159" t="s">
        <v>231</v>
      </c>
      <c r="AH356" s="159"/>
      <c r="AI356" s="160"/>
      <c r="AJ356" s="21"/>
    </row>
    <row r="357" spans="2:36" s="22" customFormat="1" ht="15" hidden="1" customHeight="1">
      <c r="B357" s="180"/>
      <c r="C357" s="181"/>
      <c r="D357" s="161"/>
      <c r="E357" s="159"/>
      <c r="F357" s="159"/>
      <c r="G357" s="159"/>
      <c r="H357" s="159"/>
      <c r="I357" s="159"/>
      <c r="J357" s="159"/>
      <c r="K357" s="159"/>
      <c r="L357" s="159"/>
      <c r="M357" s="159"/>
      <c r="N357" s="159"/>
      <c r="O357" s="159"/>
      <c r="P357" s="159"/>
      <c r="Q357" s="159"/>
      <c r="R357" s="159"/>
      <c r="S357" s="159"/>
      <c r="T357" s="159"/>
      <c r="U357" s="108"/>
      <c r="V357" s="108"/>
      <c r="W357" s="108"/>
      <c r="X357" s="108"/>
      <c r="Y357" s="108"/>
      <c r="Z357" s="159"/>
      <c r="AA357" s="108"/>
      <c r="AB357" s="108"/>
      <c r="AC357" s="159"/>
      <c r="AD357" s="159"/>
      <c r="AE357" s="159"/>
      <c r="AF357" s="159"/>
      <c r="AG357" s="159"/>
      <c r="AH357" s="159"/>
      <c r="AI357" s="160"/>
      <c r="AJ357" s="21"/>
    </row>
    <row r="358" spans="2:36" s="22" customFormat="1" hidden="1">
      <c r="B358" s="45" t="s">
        <v>250</v>
      </c>
      <c r="C358" s="46" t="str">
        <f t="shared" ref="C358:C367" si="1">BIN2HEX(D358&amp;E358&amp;F358&amp;G358)&amp;BIN2HEX(H358&amp;I358&amp;J358&amp;K358)&amp;BIN2HEX(L358&amp;M358&amp;N358&amp;O358)&amp;BIN2HEX(P358&amp;Q358&amp;R358&amp;S358)&amp;BIN2HEX(T358&amp;U358&amp;V358&amp;W358)&amp;BIN2HEX(X358&amp;Y358&amp;Z358&amp;AA358)&amp;BIN2HEX(AB358&amp;AC358&amp;AD358&amp;AE358)&amp;BIN2HEX(AF358&amp;AG358&amp;AH358&amp;AI358)</f>
        <v>02888032</v>
      </c>
      <c r="D358" s="47">
        <v>0</v>
      </c>
      <c r="E358" s="48">
        <v>0</v>
      </c>
      <c r="F358" s="48">
        <v>0</v>
      </c>
      <c r="G358" s="48">
        <v>0</v>
      </c>
      <c r="H358" s="48">
        <v>0</v>
      </c>
      <c r="I358" s="49">
        <f>MOD(ROUNDDOWN(IF(C31="Disable",0,IF(C21=1,1,2))/2,0),2)</f>
        <v>0</v>
      </c>
      <c r="J358" s="49">
        <f>MOD(IF(C31="Disable",0,IF(C21=1,1,2)),2)</f>
        <v>1</v>
      </c>
      <c r="K358" s="48">
        <v>0</v>
      </c>
      <c r="L358" s="49">
        <f>IF(C12="Normal",0,1)</f>
        <v>1</v>
      </c>
      <c r="M358" s="48">
        <v>0</v>
      </c>
      <c r="N358" s="49">
        <f>IF(C24&gt;=2.5,MOD(ROUNDDOWN(0/4,0),2),IF(C24&gt;=1.875,MOD(ROUNDDOWN(1/4,0),2),IF(C24&gt;=1.5,MOD(ROUNDDOWN(2/4,0),2),MOD(ROUNDDOWN(3/4,0),2))))</f>
        <v>0</v>
      </c>
      <c r="O358" s="49">
        <f>IF(C24&gt;=2.5,MOD(ROUNDDOWN(0/2,0),2),IF(C24&gt;=1.875,MOD(ROUNDDOWN(1/2,0),2),IF(C24&gt;=1.5,MOD(ROUNDDOWN(2/2,0),2),MOD(ROUNDDOWN(3/2,0),2))))</f>
        <v>0</v>
      </c>
      <c r="P358" s="49">
        <f>IF(C24&gt;=2.5,MOD(0,2),IF(C24&gt;=1.875,MOD(1,2),IF(C24&gt;=1.5,MOD(2,2),MOD(3,2))))</f>
        <v>1</v>
      </c>
      <c r="Q358" s="48">
        <v>0</v>
      </c>
      <c r="R358" s="48">
        <v>0</v>
      </c>
      <c r="S358" s="48">
        <v>0</v>
      </c>
      <c r="T358" s="48">
        <v>1</v>
      </c>
      <c r="U358" s="48">
        <v>0</v>
      </c>
      <c r="V358" s="48">
        <v>0</v>
      </c>
      <c r="W358" s="48">
        <v>0</v>
      </c>
      <c r="X358" s="48">
        <v>0</v>
      </c>
      <c r="Y358" s="48">
        <v>0</v>
      </c>
      <c r="Z358" s="48">
        <v>0</v>
      </c>
      <c r="AA358" s="48">
        <v>0</v>
      </c>
      <c r="AB358" s="48">
        <v>0</v>
      </c>
      <c r="AC358" s="48">
        <v>0</v>
      </c>
      <c r="AD358" s="48">
        <v>1</v>
      </c>
      <c r="AE358" s="48">
        <v>1</v>
      </c>
      <c r="AF358" s="48">
        <v>0</v>
      </c>
      <c r="AG358" s="48">
        <v>0</v>
      </c>
      <c r="AH358" s="48">
        <v>1</v>
      </c>
      <c r="AI358" s="50">
        <v>0</v>
      </c>
    </row>
    <row r="359" spans="2:36" hidden="1">
      <c r="B359" s="45" t="s">
        <v>251</v>
      </c>
      <c r="C359" s="46" t="str">
        <f t="shared" si="1"/>
        <v>00008033</v>
      </c>
      <c r="D359" s="47">
        <v>0</v>
      </c>
      <c r="E359" s="48">
        <v>0</v>
      </c>
      <c r="F359" s="48">
        <v>0</v>
      </c>
      <c r="G359" s="48">
        <v>0</v>
      </c>
      <c r="H359" s="48">
        <v>0</v>
      </c>
      <c r="I359" s="48">
        <v>0</v>
      </c>
      <c r="J359" s="48">
        <v>0</v>
      </c>
      <c r="K359" s="48">
        <v>0</v>
      </c>
      <c r="L359" s="48">
        <v>0</v>
      </c>
      <c r="M359" s="48">
        <v>0</v>
      </c>
      <c r="N359" s="48">
        <v>0</v>
      </c>
      <c r="O359" s="48">
        <v>0</v>
      </c>
      <c r="P359" s="48">
        <v>0</v>
      </c>
      <c r="Q359" s="48">
        <v>0</v>
      </c>
      <c r="R359" s="48">
        <v>0</v>
      </c>
      <c r="S359" s="48">
        <v>0</v>
      </c>
      <c r="T359" s="48">
        <v>1</v>
      </c>
      <c r="U359" s="48">
        <v>0</v>
      </c>
      <c r="V359" s="48">
        <v>0</v>
      </c>
      <c r="W359" s="48">
        <v>0</v>
      </c>
      <c r="X359" s="48">
        <v>0</v>
      </c>
      <c r="Y359" s="48">
        <v>0</v>
      </c>
      <c r="Z359" s="48">
        <v>0</v>
      </c>
      <c r="AA359" s="48">
        <v>0</v>
      </c>
      <c r="AB359" s="48">
        <v>0</v>
      </c>
      <c r="AC359" s="48">
        <v>0</v>
      </c>
      <c r="AD359" s="48">
        <v>1</v>
      </c>
      <c r="AE359" s="48">
        <v>1</v>
      </c>
      <c r="AF359" s="48">
        <v>0</v>
      </c>
      <c r="AG359" s="48">
        <v>0</v>
      </c>
      <c r="AH359" s="48">
        <v>1</v>
      </c>
      <c r="AI359" s="50">
        <v>1</v>
      </c>
    </row>
    <row r="360" spans="2:36" hidden="1">
      <c r="B360" s="45" t="s">
        <v>252</v>
      </c>
      <c r="C360" s="46" t="str">
        <f t="shared" si="1"/>
        <v>00048031</v>
      </c>
      <c r="D360" s="47">
        <v>0</v>
      </c>
      <c r="E360" s="48">
        <v>0</v>
      </c>
      <c r="F360" s="48">
        <v>0</v>
      </c>
      <c r="G360" s="48">
        <v>0</v>
      </c>
      <c r="H360" s="48">
        <v>0</v>
      </c>
      <c r="I360" s="48">
        <v>0</v>
      </c>
      <c r="J360" s="49">
        <v>0</v>
      </c>
      <c r="K360" s="48">
        <v>0</v>
      </c>
      <c r="L360" s="48">
        <v>0</v>
      </c>
      <c r="M360" s="49">
        <f>MOD(ROUNDDOWN(IF(C31="Disable",0,IF(C31&lt;=40,3,IF(C31=60,1,2)))/2,0),2)</f>
        <v>0</v>
      </c>
      <c r="N360" s="48">
        <v>0</v>
      </c>
      <c r="O360" s="48">
        <v>0</v>
      </c>
      <c r="P360" s="48">
        <v>0</v>
      </c>
      <c r="Q360" s="49">
        <f>MOD(IF(C31="Disable",0,IF(C31&lt;=40,3,IF(C31=60,1,2))),2)</f>
        <v>1</v>
      </c>
      <c r="R360" s="48">
        <v>0</v>
      </c>
      <c r="S360" s="48">
        <v>0</v>
      </c>
      <c r="T360" s="48">
        <v>1</v>
      </c>
      <c r="U360" s="48">
        <v>0</v>
      </c>
      <c r="V360" s="48">
        <v>0</v>
      </c>
      <c r="W360" s="48">
        <v>0</v>
      </c>
      <c r="X360" s="48">
        <v>0</v>
      </c>
      <c r="Y360" s="48">
        <v>0</v>
      </c>
      <c r="Z360" s="48">
        <v>0</v>
      </c>
      <c r="AA360" s="48">
        <v>0</v>
      </c>
      <c r="AB360" s="48">
        <v>0</v>
      </c>
      <c r="AC360" s="48">
        <v>0</v>
      </c>
      <c r="AD360" s="48">
        <v>1</v>
      </c>
      <c r="AE360" s="48">
        <v>1</v>
      </c>
      <c r="AF360" s="48">
        <v>0</v>
      </c>
      <c r="AG360" s="48">
        <v>0</v>
      </c>
      <c r="AH360" s="48">
        <v>0</v>
      </c>
      <c r="AI360" s="50">
        <v>1</v>
      </c>
    </row>
    <row r="361" spans="2:36" hidden="1">
      <c r="B361" s="45" t="s">
        <v>253</v>
      </c>
      <c r="C361" s="46" t="str">
        <f t="shared" si="1"/>
        <v>19408030</v>
      </c>
      <c r="D361" s="47">
        <v>0</v>
      </c>
      <c r="E361" s="48">
        <v>0</v>
      </c>
      <c r="F361" s="48">
        <v>0</v>
      </c>
      <c r="G361" s="48">
        <v>1</v>
      </c>
      <c r="H361" s="49">
        <f>MOD(ROUNDDOWN((ROUNDUP(15/C24,0)-4)/4,0),2)</f>
        <v>1</v>
      </c>
      <c r="I361" s="49">
        <f>MOD(ROUNDDOWN((ROUNDUP(15/C24,0)-4)/2,0),2)</f>
        <v>0</v>
      </c>
      <c r="J361" s="49">
        <f>MOD((ROUNDUP(15/C24,0)-4),2)</f>
        <v>0</v>
      </c>
      <c r="K361" s="48">
        <v>1</v>
      </c>
      <c r="L361" s="48">
        <v>0</v>
      </c>
      <c r="M361" s="49">
        <f>MOD(ROUNDDOWN((ROUNDUP(C14/C24,0)-4)/4,0),2)</f>
        <v>1</v>
      </c>
      <c r="N361" s="49">
        <f>MOD(ROUNDDOWN((ROUNDUP(C14/C24,0)-4)/2,0),2)</f>
        <v>0</v>
      </c>
      <c r="O361" s="49">
        <f>MOD((ROUNDUP(C14/C24,0)-4),2)</f>
        <v>0</v>
      </c>
      <c r="P361" s="48">
        <v>0</v>
      </c>
      <c r="Q361" s="49">
        <v>0</v>
      </c>
      <c r="R361" s="48">
        <v>0</v>
      </c>
      <c r="S361" s="48">
        <v>0</v>
      </c>
      <c r="T361" s="48">
        <v>1</v>
      </c>
      <c r="U361" s="48">
        <v>0</v>
      </c>
      <c r="V361" s="48">
        <v>0</v>
      </c>
      <c r="W361" s="48">
        <v>0</v>
      </c>
      <c r="X361" s="48">
        <v>0</v>
      </c>
      <c r="Y361" s="48">
        <v>0</v>
      </c>
      <c r="Z361" s="48">
        <v>0</v>
      </c>
      <c r="AA361" s="48">
        <v>0</v>
      </c>
      <c r="AB361" s="48">
        <v>0</v>
      </c>
      <c r="AC361" s="48">
        <v>0</v>
      </c>
      <c r="AD361" s="48">
        <v>1</v>
      </c>
      <c r="AE361" s="48">
        <v>1</v>
      </c>
      <c r="AF361" s="48">
        <v>0</v>
      </c>
      <c r="AG361" s="48">
        <v>0</v>
      </c>
      <c r="AH361" s="48">
        <v>0</v>
      </c>
      <c r="AI361" s="50">
        <v>0</v>
      </c>
    </row>
    <row r="362" spans="2:36" ht="15" hidden="1" thickBot="1">
      <c r="B362" s="51" t="s">
        <v>254</v>
      </c>
      <c r="C362" s="52" t="str">
        <f t="shared" si="1"/>
        <v>04008040</v>
      </c>
      <c r="D362" s="53">
        <v>0</v>
      </c>
      <c r="E362" s="25">
        <v>0</v>
      </c>
      <c r="F362" s="25">
        <v>0</v>
      </c>
      <c r="G362" s="25">
        <v>0</v>
      </c>
      <c r="H362" s="25">
        <v>0</v>
      </c>
      <c r="I362" s="25">
        <v>1</v>
      </c>
      <c r="J362" s="25">
        <v>0</v>
      </c>
      <c r="K362" s="25">
        <v>0</v>
      </c>
      <c r="L362" s="25">
        <v>0</v>
      </c>
      <c r="M362" s="25">
        <v>0</v>
      </c>
      <c r="N362" s="25">
        <v>0</v>
      </c>
      <c r="O362" s="25">
        <v>0</v>
      </c>
      <c r="P362" s="25">
        <v>0</v>
      </c>
      <c r="Q362" s="25">
        <v>0</v>
      </c>
      <c r="R362" s="25">
        <v>0</v>
      </c>
      <c r="S362" s="25">
        <v>0</v>
      </c>
      <c r="T362" s="25">
        <v>1</v>
      </c>
      <c r="U362" s="25">
        <v>0</v>
      </c>
      <c r="V362" s="25">
        <v>0</v>
      </c>
      <c r="W362" s="25">
        <v>0</v>
      </c>
      <c r="X362" s="25">
        <v>0</v>
      </c>
      <c r="Y362" s="25">
        <v>0</v>
      </c>
      <c r="Z362" s="25">
        <v>0</v>
      </c>
      <c r="AA362" s="25">
        <v>0</v>
      </c>
      <c r="AB362" s="25">
        <v>0</v>
      </c>
      <c r="AC362" s="25">
        <v>1</v>
      </c>
      <c r="AD362" s="25">
        <v>0</v>
      </c>
      <c r="AE362" s="25">
        <v>0</v>
      </c>
      <c r="AF362" s="25">
        <v>0</v>
      </c>
      <c r="AG362" s="25">
        <v>0</v>
      </c>
      <c r="AH362" s="25">
        <v>0</v>
      </c>
      <c r="AI362" s="26">
        <v>0</v>
      </c>
    </row>
    <row r="363" spans="2:36" hidden="1">
      <c r="B363" s="45" t="s">
        <v>255</v>
      </c>
      <c r="C363" s="54" t="str">
        <f t="shared" si="1"/>
        <v>0288803A</v>
      </c>
      <c r="D363" s="47">
        <v>0</v>
      </c>
      <c r="E363" s="48">
        <v>0</v>
      </c>
      <c r="F363" s="48">
        <v>0</v>
      </c>
      <c r="G363" s="48">
        <v>0</v>
      </c>
      <c r="H363" s="48">
        <v>0</v>
      </c>
      <c r="I363" s="49">
        <f>I358</f>
        <v>0</v>
      </c>
      <c r="J363" s="49">
        <f>J358</f>
        <v>1</v>
      </c>
      <c r="K363" s="48">
        <v>0</v>
      </c>
      <c r="L363" s="49">
        <f>IF(C12="Normal",0,1)</f>
        <v>1</v>
      </c>
      <c r="M363" s="48">
        <v>0</v>
      </c>
      <c r="N363" s="49">
        <f>N358</f>
        <v>0</v>
      </c>
      <c r="O363" s="49">
        <f>O358</f>
        <v>0</v>
      </c>
      <c r="P363" s="49">
        <f>P358</f>
        <v>1</v>
      </c>
      <c r="Q363" s="48">
        <v>0</v>
      </c>
      <c r="R363" s="48">
        <v>0</v>
      </c>
      <c r="S363" s="48">
        <v>0</v>
      </c>
      <c r="T363" s="48">
        <v>1</v>
      </c>
      <c r="U363" s="48">
        <v>0</v>
      </c>
      <c r="V363" s="48">
        <v>0</v>
      </c>
      <c r="W363" s="48">
        <v>0</v>
      </c>
      <c r="X363" s="48">
        <v>0</v>
      </c>
      <c r="Y363" s="48">
        <v>0</v>
      </c>
      <c r="Z363" s="48">
        <v>0</v>
      </c>
      <c r="AA363" s="48">
        <v>0</v>
      </c>
      <c r="AB363" s="48">
        <v>0</v>
      </c>
      <c r="AC363" s="48">
        <v>0</v>
      </c>
      <c r="AD363" s="48">
        <v>1</v>
      </c>
      <c r="AE363" s="48">
        <v>1</v>
      </c>
      <c r="AF363" s="48">
        <v>1</v>
      </c>
      <c r="AG363" s="48">
        <v>0</v>
      </c>
      <c r="AH363" s="48">
        <v>1</v>
      </c>
      <c r="AI363" s="50">
        <v>0</v>
      </c>
    </row>
    <row r="364" spans="2:36" hidden="1">
      <c r="B364" s="45" t="s">
        <v>256</v>
      </c>
      <c r="C364" s="46" t="str">
        <f t="shared" si="1"/>
        <v>0000803B</v>
      </c>
      <c r="D364" s="47">
        <v>0</v>
      </c>
      <c r="E364" s="48">
        <v>0</v>
      </c>
      <c r="F364" s="48">
        <v>0</v>
      </c>
      <c r="G364" s="48">
        <v>0</v>
      </c>
      <c r="H364" s="48">
        <v>0</v>
      </c>
      <c r="I364" s="48">
        <v>0</v>
      </c>
      <c r="J364" s="48">
        <v>0</v>
      </c>
      <c r="K364" s="48">
        <v>0</v>
      </c>
      <c r="L364" s="48">
        <v>0</v>
      </c>
      <c r="M364" s="48">
        <v>0</v>
      </c>
      <c r="N364" s="48">
        <v>0</v>
      </c>
      <c r="O364" s="48">
        <v>0</v>
      </c>
      <c r="P364" s="48">
        <v>0</v>
      </c>
      <c r="Q364" s="48">
        <v>0</v>
      </c>
      <c r="R364" s="48">
        <v>0</v>
      </c>
      <c r="S364" s="48">
        <v>0</v>
      </c>
      <c r="T364" s="48">
        <v>1</v>
      </c>
      <c r="U364" s="48">
        <v>0</v>
      </c>
      <c r="V364" s="48">
        <v>0</v>
      </c>
      <c r="W364" s="48">
        <v>0</v>
      </c>
      <c r="X364" s="48">
        <v>0</v>
      </c>
      <c r="Y364" s="48">
        <v>0</v>
      </c>
      <c r="Z364" s="48">
        <v>0</v>
      </c>
      <c r="AA364" s="48">
        <v>0</v>
      </c>
      <c r="AB364" s="48">
        <v>0</v>
      </c>
      <c r="AC364" s="48">
        <v>0</v>
      </c>
      <c r="AD364" s="48">
        <v>1</v>
      </c>
      <c r="AE364" s="48">
        <v>1</v>
      </c>
      <c r="AF364" s="48">
        <v>1</v>
      </c>
      <c r="AG364" s="48">
        <v>0</v>
      </c>
      <c r="AH364" s="48">
        <v>1</v>
      </c>
      <c r="AI364" s="50">
        <v>1</v>
      </c>
    </row>
    <row r="365" spans="2:36" hidden="1">
      <c r="B365" s="45" t="s">
        <v>257</v>
      </c>
      <c r="C365" s="46" t="str">
        <f t="shared" si="1"/>
        <v>00048039</v>
      </c>
      <c r="D365" s="47">
        <v>0</v>
      </c>
      <c r="E365" s="48">
        <v>0</v>
      </c>
      <c r="F365" s="48">
        <v>0</v>
      </c>
      <c r="G365" s="48">
        <v>0</v>
      </c>
      <c r="H365" s="48">
        <v>0</v>
      </c>
      <c r="I365" s="48">
        <v>0</v>
      </c>
      <c r="J365" s="49">
        <f>J360</f>
        <v>0</v>
      </c>
      <c r="K365" s="48">
        <v>0</v>
      </c>
      <c r="L365" s="48">
        <v>0</v>
      </c>
      <c r="M365" s="49">
        <f>M360</f>
        <v>0</v>
      </c>
      <c r="N365" s="48">
        <v>0</v>
      </c>
      <c r="O365" s="48">
        <v>0</v>
      </c>
      <c r="P365" s="48">
        <v>0</v>
      </c>
      <c r="Q365" s="49">
        <f>Q360</f>
        <v>1</v>
      </c>
      <c r="R365" s="48">
        <v>0</v>
      </c>
      <c r="S365" s="48">
        <v>0</v>
      </c>
      <c r="T365" s="48">
        <v>1</v>
      </c>
      <c r="U365" s="48">
        <v>0</v>
      </c>
      <c r="V365" s="48">
        <v>0</v>
      </c>
      <c r="W365" s="48">
        <v>0</v>
      </c>
      <c r="X365" s="48">
        <v>0</v>
      </c>
      <c r="Y365" s="48">
        <v>0</v>
      </c>
      <c r="Z365" s="48">
        <v>0</v>
      </c>
      <c r="AA365" s="48">
        <v>0</v>
      </c>
      <c r="AB365" s="48">
        <v>0</v>
      </c>
      <c r="AC365" s="48">
        <v>0</v>
      </c>
      <c r="AD365" s="48">
        <v>1</v>
      </c>
      <c r="AE365" s="48">
        <v>1</v>
      </c>
      <c r="AF365" s="48">
        <v>1</v>
      </c>
      <c r="AG365" s="48">
        <v>0</v>
      </c>
      <c r="AH365" s="48">
        <v>0</v>
      </c>
      <c r="AI365" s="50">
        <v>1</v>
      </c>
    </row>
    <row r="366" spans="2:36" hidden="1">
      <c r="B366" s="45" t="s">
        <v>258</v>
      </c>
      <c r="C366" s="46" t="str">
        <f t="shared" si="1"/>
        <v>19408038</v>
      </c>
      <c r="D366" s="47">
        <v>0</v>
      </c>
      <c r="E366" s="48">
        <v>0</v>
      </c>
      <c r="F366" s="48">
        <v>0</v>
      </c>
      <c r="G366" s="48">
        <v>1</v>
      </c>
      <c r="H366" s="49">
        <f>H361</f>
        <v>1</v>
      </c>
      <c r="I366" s="49">
        <f>I361</f>
        <v>0</v>
      </c>
      <c r="J366" s="49">
        <f>J361</f>
        <v>0</v>
      </c>
      <c r="K366" s="48">
        <v>1</v>
      </c>
      <c r="L366" s="48">
        <v>0</v>
      </c>
      <c r="M366" s="49">
        <f>M361</f>
        <v>1</v>
      </c>
      <c r="N366" s="49">
        <f>N361</f>
        <v>0</v>
      </c>
      <c r="O366" s="49">
        <f>O361</f>
        <v>0</v>
      </c>
      <c r="P366" s="48">
        <v>0</v>
      </c>
      <c r="Q366" s="49">
        <f>Q361</f>
        <v>0</v>
      </c>
      <c r="R366" s="48">
        <v>0</v>
      </c>
      <c r="S366" s="48">
        <v>0</v>
      </c>
      <c r="T366" s="48">
        <v>1</v>
      </c>
      <c r="U366" s="48">
        <v>0</v>
      </c>
      <c r="V366" s="48">
        <v>0</v>
      </c>
      <c r="W366" s="48">
        <v>0</v>
      </c>
      <c r="X366" s="48">
        <v>0</v>
      </c>
      <c r="Y366" s="48">
        <v>0</v>
      </c>
      <c r="Z366" s="48">
        <v>0</v>
      </c>
      <c r="AA366" s="48">
        <v>0</v>
      </c>
      <c r="AB366" s="48">
        <v>0</v>
      </c>
      <c r="AC366" s="48">
        <v>0</v>
      </c>
      <c r="AD366" s="48">
        <v>1</v>
      </c>
      <c r="AE366" s="48">
        <v>1</v>
      </c>
      <c r="AF366" s="48">
        <v>1</v>
      </c>
      <c r="AG366" s="48">
        <v>0</v>
      </c>
      <c r="AH366" s="48">
        <v>0</v>
      </c>
      <c r="AI366" s="50">
        <v>0</v>
      </c>
    </row>
    <row r="367" spans="2:36" ht="15" hidden="1" thickBot="1">
      <c r="B367" s="51" t="s">
        <v>259</v>
      </c>
      <c r="C367" s="52" t="str">
        <f t="shared" si="1"/>
        <v>04008048</v>
      </c>
      <c r="D367" s="53">
        <v>0</v>
      </c>
      <c r="E367" s="25">
        <v>0</v>
      </c>
      <c r="F367" s="25">
        <v>0</v>
      </c>
      <c r="G367" s="25">
        <v>0</v>
      </c>
      <c r="H367" s="25">
        <v>0</v>
      </c>
      <c r="I367" s="25">
        <v>1</v>
      </c>
      <c r="J367" s="25">
        <v>0</v>
      </c>
      <c r="K367" s="25">
        <v>0</v>
      </c>
      <c r="L367" s="25">
        <v>0</v>
      </c>
      <c r="M367" s="25">
        <v>0</v>
      </c>
      <c r="N367" s="25">
        <v>0</v>
      </c>
      <c r="O367" s="25">
        <v>0</v>
      </c>
      <c r="P367" s="25">
        <v>0</v>
      </c>
      <c r="Q367" s="25">
        <v>0</v>
      </c>
      <c r="R367" s="25">
        <v>0</v>
      </c>
      <c r="S367" s="25">
        <v>0</v>
      </c>
      <c r="T367" s="25">
        <v>1</v>
      </c>
      <c r="U367" s="25">
        <v>0</v>
      </c>
      <c r="V367" s="25">
        <v>0</v>
      </c>
      <c r="W367" s="25">
        <v>0</v>
      </c>
      <c r="X367" s="25">
        <v>0</v>
      </c>
      <c r="Y367" s="25">
        <v>0</v>
      </c>
      <c r="Z367" s="25">
        <v>0</v>
      </c>
      <c r="AA367" s="25">
        <v>0</v>
      </c>
      <c r="AB367" s="25">
        <v>0</v>
      </c>
      <c r="AC367" s="25">
        <v>1</v>
      </c>
      <c r="AD367" s="25">
        <v>0</v>
      </c>
      <c r="AE367" s="25">
        <v>0</v>
      </c>
      <c r="AF367" s="25">
        <v>1</v>
      </c>
      <c r="AG367" s="25">
        <v>0</v>
      </c>
      <c r="AH367" s="25">
        <v>0</v>
      </c>
      <c r="AI367" s="26">
        <v>0</v>
      </c>
    </row>
    <row r="368" spans="2:36" ht="15" hidden="1" thickBot="1"/>
    <row r="369" spans="2:36" s="22" customFormat="1" ht="15.6" hidden="1">
      <c r="B369" s="17" t="s">
        <v>280</v>
      </c>
      <c r="C369" s="18" t="s">
        <v>6</v>
      </c>
      <c r="D369" s="19">
        <v>31</v>
      </c>
      <c r="E369" s="19">
        <v>30</v>
      </c>
      <c r="F369" s="19">
        <v>29</v>
      </c>
      <c r="G369" s="19">
        <v>28</v>
      </c>
      <c r="H369" s="19">
        <v>27</v>
      </c>
      <c r="I369" s="19">
        <v>26</v>
      </c>
      <c r="J369" s="19">
        <v>25</v>
      </c>
      <c r="K369" s="19">
        <v>24</v>
      </c>
      <c r="L369" s="19">
        <v>23</v>
      </c>
      <c r="M369" s="19">
        <v>22</v>
      </c>
      <c r="N369" s="19">
        <v>21</v>
      </c>
      <c r="O369" s="19">
        <v>20</v>
      </c>
      <c r="P369" s="19">
        <v>19</v>
      </c>
      <c r="Q369" s="19">
        <v>18</v>
      </c>
      <c r="R369" s="19">
        <v>17</v>
      </c>
      <c r="S369" s="19">
        <v>16</v>
      </c>
      <c r="T369" s="19">
        <v>15</v>
      </c>
      <c r="U369" s="19">
        <v>14</v>
      </c>
      <c r="V369" s="19">
        <v>13</v>
      </c>
      <c r="W369" s="19">
        <v>12</v>
      </c>
      <c r="X369" s="19">
        <v>11</v>
      </c>
      <c r="Y369" s="19">
        <v>10</v>
      </c>
      <c r="Z369" s="19">
        <v>9</v>
      </c>
      <c r="AA369" s="19">
        <v>8</v>
      </c>
      <c r="AB369" s="19">
        <v>7</v>
      </c>
      <c r="AC369" s="19">
        <v>6</v>
      </c>
      <c r="AD369" s="19">
        <v>5</v>
      </c>
      <c r="AE369" s="19">
        <v>4</v>
      </c>
      <c r="AF369" s="19">
        <v>3</v>
      </c>
      <c r="AG369" s="19">
        <v>2</v>
      </c>
      <c r="AH369" s="19">
        <v>1</v>
      </c>
      <c r="AI369" s="20">
        <v>0</v>
      </c>
    </row>
    <row r="370" spans="2:36" s="22" customFormat="1" ht="15.75" hidden="1" customHeight="1">
      <c r="B370" s="111" t="s">
        <v>349</v>
      </c>
      <c r="C370" s="124"/>
      <c r="D370" s="120" t="s">
        <v>261</v>
      </c>
      <c r="E370" s="120"/>
      <c r="F370" s="120"/>
      <c r="G370" s="120"/>
      <c r="H370" s="120"/>
      <c r="I370" s="120"/>
      <c r="J370" s="120"/>
      <c r="K370" s="120"/>
      <c r="L370" s="120"/>
      <c r="M370" s="120"/>
      <c r="N370" s="120"/>
      <c r="O370" s="120"/>
      <c r="P370" s="120"/>
      <c r="Q370" s="120"/>
      <c r="R370" s="120"/>
      <c r="S370" s="120"/>
      <c r="T370" s="120" t="s">
        <v>262</v>
      </c>
      <c r="U370" s="120"/>
      <c r="V370" s="120" t="s">
        <v>263</v>
      </c>
      <c r="W370" s="120"/>
      <c r="X370" s="120"/>
      <c r="Y370" s="122"/>
      <c r="Z370" s="122"/>
      <c r="AA370" s="122"/>
      <c r="AB370" s="122"/>
      <c r="AC370" s="122"/>
      <c r="AD370" s="122"/>
      <c r="AE370" s="122"/>
      <c r="AF370" s="122"/>
      <c r="AG370" s="122"/>
      <c r="AH370" s="122"/>
      <c r="AI370" s="120" t="s">
        <v>264</v>
      </c>
      <c r="AJ370" s="21"/>
    </row>
    <row r="371" spans="2:36" s="22" customFormat="1" ht="15" hidden="1" customHeight="1">
      <c r="B371" s="112"/>
      <c r="C371" s="124"/>
      <c r="D371" s="121"/>
      <c r="E371" s="121"/>
      <c r="F371" s="121"/>
      <c r="G371" s="121"/>
      <c r="H371" s="121"/>
      <c r="I371" s="121"/>
      <c r="J371" s="121"/>
      <c r="K371" s="121"/>
      <c r="L371" s="121"/>
      <c r="M371" s="121"/>
      <c r="N371" s="121"/>
      <c r="O371" s="121"/>
      <c r="P371" s="121"/>
      <c r="Q371" s="121"/>
      <c r="R371" s="121"/>
      <c r="S371" s="121"/>
      <c r="T371" s="121"/>
      <c r="U371" s="121"/>
      <c r="V371" s="121"/>
      <c r="W371" s="121"/>
      <c r="X371" s="121"/>
      <c r="Y371" s="123"/>
      <c r="Z371" s="123"/>
      <c r="AA371" s="123"/>
      <c r="AB371" s="123"/>
      <c r="AC371" s="123"/>
      <c r="AD371" s="123"/>
      <c r="AE371" s="123"/>
      <c r="AF371" s="123"/>
      <c r="AG371" s="123"/>
      <c r="AH371" s="123"/>
      <c r="AI371" s="121"/>
      <c r="AJ371" s="21"/>
    </row>
    <row r="372" spans="2:36" s="22" customFormat="1" ht="15" hidden="1" thickBot="1">
      <c r="B372" s="23" t="s">
        <v>260</v>
      </c>
      <c r="C372" s="24" t="str">
        <f>BIN2HEX(D372&amp;E372&amp;F372&amp;G372)&amp;BIN2HEX(H372&amp;I372&amp;J372&amp;K372)&amp;BIN2HEX(L372&amp;M372&amp;N372&amp;O372)&amp;BIN2HEX(P372&amp;Q372&amp;R372&amp;S372)&amp;BIN2HEX(T372&amp;U372&amp;V372&amp;W372)&amp;BIN2HEX(X372&amp;Y372&amp;Z372&amp;AA372)&amp;BIN2HEX(AB372&amp;AC372&amp;AD372&amp;AE372)&amp;BIN2HEX(AF372&amp;AG372&amp;AH372&amp;AI372)</f>
        <v>00007800</v>
      </c>
      <c r="D372" s="25">
        <v>0</v>
      </c>
      <c r="E372" s="25">
        <v>0</v>
      </c>
      <c r="F372" s="25">
        <v>0</v>
      </c>
      <c r="G372" s="25">
        <v>0</v>
      </c>
      <c r="H372" s="25">
        <v>0</v>
      </c>
      <c r="I372" s="25">
        <v>0</v>
      </c>
      <c r="J372" s="25">
        <v>0</v>
      </c>
      <c r="K372" s="25">
        <v>0</v>
      </c>
      <c r="L372" s="25">
        <v>0</v>
      </c>
      <c r="M372" s="25">
        <v>0</v>
      </c>
      <c r="N372" s="25">
        <v>0</v>
      </c>
      <c r="O372" s="25">
        <v>0</v>
      </c>
      <c r="P372" s="25">
        <v>0</v>
      </c>
      <c r="Q372" s="25">
        <v>0</v>
      </c>
      <c r="R372" s="25">
        <v>0</v>
      </c>
      <c r="S372" s="25">
        <v>0</v>
      </c>
      <c r="T372" s="25">
        <v>0</v>
      </c>
      <c r="U372" s="25">
        <v>1</v>
      </c>
      <c r="V372" s="25">
        <v>1</v>
      </c>
      <c r="W372" s="25">
        <v>1</v>
      </c>
      <c r="X372" s="25">
        <v>1</v>
      </c>
      <c r="Y372" s="25">
        <v>0</v>
      </c>
      <c r="Z372" s="25">
        <v>0</v>
      </c>
      <c r="AA372" s="25">
        <v>0</v>
      </c>
      <c r="AB372" s="25">
        <v>0</v>
      </c>
      <c r="AC372" s="25">
        <v>0</v>
      </c>
      <c r="AD372" s="25">
        <v>0</v>
      </c>
      <c r="AE372" s="25">
        <v>0</v>
      </c>
      <c r="AF372" s="25">
        <v>0</v>
      </c>
      <c r="AG372" s="25">
        <v>0</v>
      </c>
      <c r="AH372" s="25">
        <v>0</v>
      </c>
      <c r="AI372" s="26">
        <v>0</v>
      </c>
    </row>
    <row r="373" spans="2:36" ht="15" hidden="1" thickBot="1"/>
    <row r="374" spans="2:36" s="22" customFormat="1" ht="15.6" hidden="1">
      <c r="B374" s="17" t="s">
        <v>280</v>
      </c>
      <c r="C374" s="18" t="s">
        <v>6</v>
      </c>
      <c r="D374" s="19">
        <v>31</v>
      </c>
      <c r="E374" s="19">
        <v>30</v>
      </c>
      <c r="F374" s="19">
        <v>29</v>
      </c>
      <c r="G374" s="19">
        <v>28</v>
      </c>
      <c r="H374" s="19">
        <v>27</v>
      </c>
      <c r="I374" s="19">
        <v>26</v>
      </c>
      <c r="J374" s="19">
        <v>25</v>
      </c>
      <c r="K374" s="19">
        <v>24</v>
      </c>
      <c r="L374" s="19">
        <v>23</v>
      </c>
      <c r="M374" s="19">
        <v>22</v>
      </c>
      <c r="N374" s="19">
        <v>21</v>
      </c>
      <c r="O374" s="19">
        <v>20</v>
      </c>
      <c r="P374" s="19">
        <v>19</v>
      </c>
      <c r="Q374" s="19">
        <v>18</v>
      </c>
      <c r="R374" s="19">
        <v>17</v>
      </c>
      <c r="S374" s="19">
        <v>16</v>
      </c>
      <c r="T374" s="19">
        <v>15</v>
      </c>
      <c r="U374" s="19">
        <v>14</v>
      </c>
      <c r="V374" s="19">
        <v>13</v>
      </c>
      <c r="W374" s="19">
        <v>12</v>
      </c>
      <c r="X374" s="19">
        <v>11</v>
      </c>
      <c r="Y374" s="19">
        <v>10</v>
      </c>
      <c r="Z374" s="19">
        <v>9</v>
      </c>
      <c r="AA374" s="19">
        <v>8</v>
      </c>
      <c r="AB374" s="19">
        <v>7</v>
      </c>
      <c r="AC374" s="19">
        <v>6</v>
      </c>
      <c r="AD374" s="19">
        <v>5</v>
      </c>
      <c r="AE374" s="19">
        <v>4</v>
      </c>
      <c r="AF374" s="19">
        <v>3</v>
      </c>
      <c r="AG374" s="19">
        <v>2</v>
      </c>
      <c r="AH374" s="19">
        <v>1</v>
      </c>
      <c r="AI374" s="20">
        <v>0</v>
      </c>
    </row>
    <row r="375" spans="2:36" s="22" customFormat="1" ht="15.75" hidden="1" customHeight="1">
      <c r="B375" s="111" t="s">
        <v>354</v>
      </c>
      <c r="C375" s="124"/>
      <c r="D375" s="122"/>
      <c r="E375" s="122"/>
      <c r="F375" s="122"/>
      <c r="G375" s="122"/>
      <c r="H375" s="122"/>
      <c r="I375" s="122"/>
      <c r="J375" s="122"/>
      <c r="K375" s="122"/>
      <c r="L375" s="122"/>
      <c r="M375" s="122"/>
      <c r="N375" s="122"/>
      <c r="O375" s="122"/>
      <c r="P375" s="122"/>
      <c r="Q375" s="120" t="s">
        <v>266</v>
      </c>
      <c r="R375" s="120"/>
      <c r="S375" s="120"/>
      <c r="T375" s="122"/>
      <c r="U375" s="120" t="s">
        <v>267</v>
      </c>
      <c r="V375" s="120"/>
      <c r="W375" s="120"/>
      <c r="X375" s="122"/>
      <c r="Y375" s="120" t="s">
        <v>268</v>
      </c>
      <c r="Z375" s="120"/>
      <c r="AA375" s="120"/>
      <c r="AB375" s="122"/>
      <c r="AC375" s="120" t="s">
        <v>269</v>
      </c>
      <c r="AD375" s="120"/>
      <c r="AE375" s="120"/>
      <c r="AF375" s="120" t="s">
        <v>270</v>
      </c>
      <c r="AG375" s="120" t="s">
        <v>271</v>
      </c>
      <c r="AH375" s="120" t="s">
        <v>272</v>
      </c>
      <c r="AI375" s="120" t="s">
        <v>273</v>
      </c>
      <c r="AJ375" s="21"/>
    </row>
    <row r="376" spans="2:36" s="22" customFormat="1" ht="15" hidden="1" customHeight="1">
      <c r="B376" s="112"/>
      <c r="C376" s="124"/>
      <c r="D376" s="123"/>
      <c r="E376" s="123"/>
      <c r="F376" s="123"/>
      <c r="G376" s="123"/>
      <c r="H376" s="123"/>
      <c r="I376" s="123"/>
      <c r="J376" s="123"/>
      <c r="K376" s="123"/>
      <c r="L376" s="123"/>
      <c r="M376" s="123"/>
      <c r="N376" s="123"/>
      <c r="O376" s="123"/>
      <c r="P376" s="123"/>
      <c r="Q376" s="121"/>
      <c r="R376" s="121"/>
      <c r="S376" s="121"/>
      <c r="T376" s="123"/>
      <c r="U376" s="121"/>
      <c r="V376" s="121"/>
      <c r="W376" s="121"/>
      <c r="X376" s="123"/>
      <c r="Y376" s="121"/>
      <c r="Z376" s="121"/>
      <c r="AA376" s="121"/>
      <c r="AB376" s="123"/>
      <c r="AC376" s="121"/>
      <c r="AD376" s="121"/>
      <c r="AE376" s="121"/>
      <c r="AF376" s="121"/>
      <c r="AG376" s="121"/>
      <c r="AH376" s="121"/>
      <c r="AI376" s="121"/>
      <c r="AJ376" s="21"/>
    </row>
    <row r="377" spans="2:36" s="22" customFormat="1" ht="15" hidden="1" thickBot="1">
      <c r="B377" s="23" t="s">
        <v>265</v>
      </c>
      <c r="C377" s="24" t="str">
        <f>BIN2HEX(D377&amp;E377&amp;F377&amp;G377)&amp;BIN2HEX(H377&amp;I377&amp;J377&amp;K377)&amp;BIN2HEX(L377&amp;M377&amp;N377&amp;O377)&amp;BIN2HEX(P377&amp;Q377&amp;R377&amp;S377)&amp;BIN2HEX(T377&amp;U377&amp;V377&amp;W377)&amp;BIN2HEX(X377&amp;Y377&amp;Z377&amp;AA377)&amp;BIN2HEX(AB377&amp;AC377&amp;AD377&amp;AE377)&amp;BIN2HEX(AF377&amp;AG377&amp;AH377&amp;AI377)</f>
        <v>00022227</v>
      </c>
      <c r="D377" s="25">
        <v>0</v>
      </c>
      <c r="E377" s="25">
        <v>0</v>
      </c>
      <c r="F377" s="25">
        <v>0</v>
      </c>
      <c r="G377" s="25">
        <v>0</v>
      </c>
      <c r="H377" s="25">
        <v>0</v>
      </c>
      <c r="I377" s="25">
        <v>0</v>
      </c>
      <c r="J377" s="25">
        <v>0</v>
      </c>
      <c r="K377" s="25">
        <v>0</v>
      </c>
      <c r="L377" s="25">
        <v>0</v>
      </c>
      <c r="M377" s="25">
        <v>0</v>
      </c>
      <c r="N377" s="25">
        <v>0</v>
      </c>
      <c r="O377" s="25">
        <v>0</v>
      </c>
      <c r="P377" s="25">
        <v>0</v>
      </c>
      <c r="Q377" s="29">
        <f>IF(C31="Disable",0,MOD(ROUNDDOWN(ROUND(IF(C21=1,120/C31,1),0)/4,0),2))</f>
        <v>0</v>
      </c>
      <c r="R377" s="29">
        <f>IF(C31="Disable",0,MOD(ROUNDDOWN(ROUND(IF(C21=1,120/C31,1),0)/2,0),2))</f>
        <v>1</v>
      </c>
      <c r="S377" s="29">
        <f>IF(C31="Disable",0,MOD(ROUND(IF(C21=1,120/C31,1),0),2))</f>
        <v>0</v>
      </c>
      <c r="T377" s="25">
        <v>0</v>
      </c>
      <c r="U377" s="29">
        <f>IF(C31="Disable",0,MOD(ROUNDDOWN(ROUND(IF(C21=1,120/C31,1),0)/4,0),2))</f>
        <v>0</v>
      </c>
      <c r="V377" s="29">
        <f>IF(C31="Disable",0,MOD(ROUNDDOWN(ROUND(IF(C21=1,120/C31,1),0)/2,0),2))</f>
        <v>1</v>
      </c>
      <c r="W377" s="29">
        <f>IF(C31="Disable",0,MOD(ROUND(IF(C21=1,120/C31,1),0),2))</f>
        <v>0</v>
      </c>
      <c r="X377" s="25">
        <v>0</v>
      </c>
      <c r="Y377" s="29">
        <f>IF(C31="Disable",0,MOD(ROUNDDOWN(ROUND(IF(C21=1,120/C31,1),0)/4,0),2))</f>
        <v>0</v>
      </c>
      <c r="Z377" s="29">
        <f>IF(C31="Disable",0,MOD(ROUNDDOWN(ROUND(IF(C21=1,120/C31,1),0)/2,0),2))</f>
        <v>1</v>
      </c>
      <c r="AA377" s="29">
        <f>IF(C31="Disable",0,MOD(ROUND(IF(C21=1,120/C31,1),0),2))</f>
        <v>0</v>
      </c>
      <c r="AB377" s="25">
        <v>0</v>
      </c>
      <c r="AC377" s="29">
        <f>IF(C31="Disable",0,MOD(ROUNDDOWN(ROUND(IF(C21=1,120/C31,1),0)/4,0),2))</f>
        <v>0</v>
      </c>
      <c r="AD377" s="29">
        <f>IF(C31="Disable",0,MOD(ROUNDDOWN(ROUND(IF(C21=1,120/C31,1),0)/2,0),2))</f>
        <v>1</v>
      </c>
      <c r="AE377" s="29">
        <f>IF(C31="Disable",0,MOD(ROUND(IF(C21=1,120/C31,1),0),2))</f>
        <v>0</v>
      </c>
      <c r="AF377" s="25">
        <v>0</v>
      </c>
      <c r="AG377" s="25">
        <v>1</v>
      </c>
      <c r="AH377" s="25">
        <v>1</v>
      </c>
      <c r="AI377" s="26">
        <v>1</v>
      </c>
    </row>
    <row r="378" spans="2:36" ht="15" hidden="1" thickBot="1">
      <c r="B378" s="23" t="s">
        <v>274</v>
      </c>
      <c r="C378" s="54" t="str">
        <f>C377</f>
        <v>00022227</v>
      </c>
      <c r="D378" s="25">
        <v>0</v>
      </c>
      <c r="E378" s="25">
        <v>0</v>
      </c>
      <c r="F378" s="25">
        <v>0</v>
      </c>
      <c r="G378" s="25">
        <v>0</v>
      </c>
      <c r="H378" s="25">
        <v>0</v>
      </c>
      <c r="I378" s="25">
        <v>0</v>
      </c>
      <c r="J378" s="25">
        <v>0</v>
      </c>
      <c r="K378" s="25">
        <v>0</v>
      </c>
      <c r="L378" s="25">
        <v>0</v>
      </c>
      <c r="M378" s="25">
        <v>0</v>
      </c>
      <c r="N378" s="25">
        <v>0</v>
      </c>
      <c r="O378" s="25">
        <v>0</v>
      </c>
      <c r="P378" s="25">
        <v>0</v>
      </c>
      <c r="Q378" s="25">
        <v>0</v>
      </c>
      <c r="R378" s="25">
        <v>0</v>
      </c>
      <c r="S378" s="25">
        <v>0</v>
      </c>
      <c r="T378" s="25">
        <v>0</v>
      </c>
      <c r="U378" s="25">
        <v>0</v>
      </c>
      <c r="V378" s="25">
        <v>0</v>
      </c>
      <c r="W378" s="25">
        <v>0</v>
      </c>
      <c r="X378" s="25">
        <v>0</v>
      </c>
      <c r="Y378" s="25">
        <v>0</v>
      </c>
      <c r="Z378" s="25">
        <v>0</v>
      </c>
      <c r="AA378" s="25">
        <v>0</v>
      </c>
      <c r="AB378" s="25">
        <v>0</v>
      </c>
      <c r="AC378" s="25">
        <v>0</v>
      </c>
      <c r="AD378" s="25">
        <v>0</v>
      </c>
      <c r="AE378" s="25">
        <v>0</v>
      </c>
      <c r="AF378" s="25">
        <v>0</v>
      </c>
      <c r="AG378" s="25">
        <v>0</v>
      </c>
      <c r="AH378" s="25">
        <v>0</v>
      </c>
      <c r="AI378" s="26">
        <v>0</v>
      </c>
    </row>
    <row r="379" spans="2:36" ht="15" hidden="1" thickBot="1"/>
    <row r="380" spans="2:36" s="22" customFormat="1" ht="15.6" hidden="1">
      <c r="B380" s="17" t="s">
        <v>280</v>
      </c>
      <c r="C380" s="18" t="s">
        <v>6</v>
      </c>
      <c r="D380" s="19">
        <v>31</v>
      </c>
      <c r="E380" s="19">
        <v>30</v>
      </c>
      <c r="F380" s="19">
        <v>29</v>
      </c>
      <c r="G380" s="19">
        <v>28</v>
      </c>
      <c r="H380" s="19">
        <v>27</v>
      </c>
      <c r="I380" s="19">
        <v>26</v>
      </c>
      <c r="J380" s="19">
        <v>25</v>
      </c>
      <c r="K380" s="19">
        <v>24</v>
      </c>
      <c r="L380" s="19">
        <v>23</v>
      </c>
      <c r="M380" s="19">
        <v>22</v>
      </c>
      <c r="N380" s="19">
        <v>21</v>
      </c>
      <c r="O380" s="19">
        <v>20</v>
      </c>
      <c r="P380" s="19">
        <v>19</v>
      </c>
      <c r="Q380" s="19">
        <v>18</v>
      </c>
      <c r="R380" s="19">
        <v>17</v>
      </c>
      <c r="S380" s="19">
        <v>16</v>
      </c>
      <c r="T380" s="19">
        <v>15</v>
      </c>
      <c r="U380" s="19">
        <v>14</v>
      </c>
      <c r="V380" s="19">
        <v>13</v>
      </c>
      <c r="W380" s="19">
        <v>12</v>
      </c>
      <c r="X380" s="19">
        <v>11</v>
      </c>
      <c r="Y380" s="19">
        <v>10</v>
      </c>
      <c r="Z380" s="19">
        <v>9</v>
      </c>
      <c r="AA380" s="19">
        <v>8</v>
      </c>
      <c r="AB380" s="19">
        <v>7</v>
      </c>
      <c r="AC380" s="19">
        <v>6</v>
      </c>
      <c r="AD380" s="19">
        <v>5</v>
      </c>
      <c r="AE380" s="19">
        <v>4</v>
      </c>
      <c r="AF380" s="19">
        <v>3</v>
      </c>
      <c r="AG380" s="19">
        <v>2</v>
      </c>
      <c r="AH380" s="19">
        <v>1</v>
      </c>
      <c r="AI380" s="20">
        <v>0</v>
      </c>
    </row>
    <row r="381" spans="2:36" s="22" customFormat="1" ht="15.75" hidden="1" customHeight="1">
      <c r="B381" s="111" t="s">
        <v>335</v>
      </c>
      <c r="C381" s="124"/>
      <c r="D381" s="122"/>
      <c r="E381" s="120" t="s">
        <v>179</v>
      </c>
      <c r="F381" s="120"/>
      <c r="G381" s="120"/>
      <c r="H381" s="122"/>
      <c r="I381" s="120" t="s">
        <v>180</v>
      </c>
      <c r="J381" s="120"/>
      <c r="K381" s="120"/>
      <c r="L381" s="122"/>
      <c r="M381" s="122"/>
      <c r="N381" s="122"/>
      <c r="O381" s="122"/>
      <c r="P381" s="122"/>
      <c r="Q381" s="120" t="s">
        <v>181</v>
      </c>
      <c r="R381" s="120"/>
      <c r="S381" s="120"/>
      <c r="T381" s="120" t="s">
        <v>182</v>
      </c>
      <c r="U381" s="120"/>
      <c r="V381" s="120"/>
      <c r="W381" s="120"/>
      <c r="X381" s="120" t="s">
        <v>183</v>
      </c>
      <c r="Y381" s="120"/>
      <c r="Z381" s="120"/>
      <c r="AA381" s="120"/>
      <c r="AB381" s="120" t="s">
        <v>184</v>
      </c>
      <c r="AC381" s="120" t="s">
        <v>185</v>
      </c>
      <c r="AD381" s="120" t="s">
        <v>186</v>
      </c>
      <c r="AE381" s="120"/>
      <c r="AF381" s="120"/>
      <c r="AG381" s="120" t="s">
        <v>187</v>
      </c>
      <c r="AH381" s="120"/>
      <c r="AI381" s="120"/>
      <c r="AJ381" s="21"/>
    </row>
    <row r="382" spans="2:36" s="22" customFormat="1" ht="15" hidden="1" customHeight="1">
      <c r="B382" s="112"/>
      <c r="C382" s="124"/>
      <c r="D382" s="123"/>
      <c r="E382" s="121"/>
      <c r="F382" s="121"/>
      <c r="G382" s="121"/>
      <c r="H382" s="123"/>
      <c r="I382" s="121"/>
      <c r="J382" s="121"/>
      <c r="K382" s="121"/>
      <c r="L382" s="123"/>
      <c r="M382" s="123"/>
      <c r="N382" s="123"/>
      <c r="O382" s="123"/>
      <c r="P382" s="123"/>
      <c r="Q382" s="121"/>
      <c r="R382" s="121"/>
      <c r="S382" s="121"/>
      <c r="T382" s="121"/>
      <c r="U382" s="121"/>
      <c r="V382" s="121"/>
      <c r="W382" s="121"/>
      <c r="X382" s="121"/>
      <c r="Y382" s="121"/>
      <c r="Z382" s="121"/>
      <c r="AA382" s="121"/>
      <c r="AB382" s="121"/>
      <c r="AC382" s="121"/>
      <c r="AD382" s="121"/>
      <c r="AE382" s="121"/>
      <c r="AF382" s="121"/>
      <c r="AG382" s="121"/>
      <c r="AH382" s="121"/>
      <c r="AI382" s="121"/>
      <c r="AJ382" s="21"/>
    </row>
    <row r="383" spans="2:36" s="22" customFormat="1" ht="15" hidden="1" thickBot="1">
      <c r="B383" s="23" t="s">
        <v>178</v>
      </c>
      <c r="C383" s="24" t="str">
        <f>BIN2HEX(D383&amp;E383&amp;F383&amp;G383)&amp;BIN2HEX(H383&amp;I383&amp;J383&amp;K383)&amp;BIN2HEX(L383&amp;M383&amp;N383&amp;O383)&amp;BIN2HEX(P383&amp;Q383&amp;R383&amp;S383)&amp;BIN2HEX(T383&amp;U383&amp;V383&amp;W383)&amp;BIN2HEX(X383&amp;Y383&amp;Z383&amp;AA383)&amp;BIN2HEX(AB383&amp;AC383&amp;AD383&amp;AE383)&amp;BIN2HEX(AF383&amp;AG383&amp;AH383&amp;AI383)</f>
        <v>00025576</v>
      </c>
      <c r="D383" s="25">
        <v>0</v>
      </c>
      <c r="E383" s="25">
        <v>0</v>
      </c>
      <c r="F383" s="25">
        <v>0</v>
      </c>
      <c r="G383" s="25">
        <v>0</v>
      </c>
      <c r="H383" s="25">
        <v>0</v>
      </c>
      <c r="I383" s="25">
        <v>0</v>
      </c>
      <c r="J383" s="25">
        <v>0</v>
      </c>
      <c r="K383" s="25">
        <v>0</v>
      </c>
      <c r="L383" s="25">
        <v>0</v>
      </c>
      <c r="M383" s="25">
        <v>0</v>
      </c>
      <c r="N383" s="25">
        <v>0</v>
      </c>
      <c r="O383" s="25">
        <v>0</v>
      </c>
      <c r="P383" s="25">
        <v>0</v>
      </c>
      <c r="Q383" s="29">
        <f>Q303</f>
        <v>0</v>
      </c>
      <c r="R383" s="29">
        <f>R303</f>
        <v>1</v>
      </c>
      <c r="S383" s="29">
        <f>S303</f>
        <v>0</v>
      </c>
      <c r="T383" s="25">
        <v>0</v>
      </c>
      <c r="U383" s="25">
        <v>1</v>
      </c>
      <c r="V383" s="25">
        <v>0</v>
      </c>
      <c r="W383" s="25">
        <v>1</v>
      </c>
      <c r="X383" s="25">
        <v>0</v>
      </c>
      <c r="Y383" s="25">
        <v>1</v>
      </c>
      <c r="Z383" s="25">
        <v>0</v>
      </c>
      <c r="AA383" s="25">
        <v>1</v>
      </c>
      <c r="AB383" s="25">
        <v>0</v>
      </c>
      <c r="AC383" s="25">
        <v>1</v>
      </c>
      <c r="AD383" s="29" t="str">
        <f t="shared" ref="AD383:AI383" si="2">AD303</f>
        <v>1</v>
      </c>
      <c r="AE383" s="29" t="str">
        <f t="shared" si="2"/>
        <v>1</v>
      </c>
      <c r="AF383" s="29" t="str">
        <f t="shared" si="2"/>
        <v>0</v>
      </c>
      <c r="AG383" s="29" t="str">
        <f t="shared" si="2"/>
        <v>1</v>
      </c>
      <c r="AH383" s="29" t="str">
        <f t="shared" si="2"/>
        <v>1</v>
      </c>
      <c r="AI383" s="29" t="str">
        <f t="shared" si="2"/>
        <v>0</v>
      </c>
    </row>
    <row r="384" spans="2:36" ht="15" hidden="1" thickBot="1"/>
    <row r="385" spans="2:36" s="22" customFormat="1" ht="15.6" hidden="1">
      <c r="B385" s="17" t="s">
        <v>280</v>
      </c>
      <c r="C385" s="18" t="s">
        <v>6</v>
      </c>
      <c r="D385" s="19">
        <v>31</v>
      </c>
      <c r="E385" s="19">
        <v>30</v>
      </c>
      <c r="F385" s="19">
        <v>29</v>
      </c>
      <c r="G385" s="19">
        <v>28</v>
      </c>
      <c r="H385" s="19">
        <v>27</v>
      </c>
      <c r="I385" s="19">
        <v>26</v>
      </c>
      <c r="J385" s="19">
        <v>25</v>
      </c>
      <c r="K385" s="19">
        <v>24</v>
      </c>
      <c r="L385" s="19">
        <v>23</v>
      </c>
      <c r="M385" s="19">
        <v>22</v>
      </c>
      <c r="N385" s="19">
        <v>21</v>
      </c>
      <c r="O385" s="19">
        <v>20</v>
      </c>
      <c r="P385" s="19">
        <v>19</v>
      </c>
      <c r="Q385" s="19">
        <v>18</v>
      </c>
      <c r="R385" s="19">
        <v>17</v>
      </c>
      <c r="S385" s="19">
        <v>16</v>
      </c>
      <c r="T385" s="19">
        <v>15</v>
      </c>
      <c r="U385" s="19">
        <v>14</v>
      </c>
      <c r="V385" s="19">
        <v>13</v>
      </c>
      <c r="W385" s="19">
        <v>12</v>
      </c>
      <c r="X385" s="19">
        <v>11</v>
      </c>
      <c r="Y385" s="19">
        <v>10</v>
      </c>
      <c r="Z385" s="19">
        <v>9</v>
      </c>
      <c r="AA385" s="19">
        <v>8</v>
      </c>
      <c r="AB385" s="19">
        <v>7</v>
      </c>
      <c r="AC385" s="19">
        <v>6</v>
      </c>
      <c r="AD385" s="19">
        <v>5</v>
      </c>
      <c r="AE385" s="19">
        <v>4</v>
      </c>
      <c r="AF385" s="19">
        <v>3</v>
      </c>
      <c r="AG385" s="19">
        <v>2</v>
      </c>
      <c r="AH385" s="19">
        <v>1</v>
      </c>
      <c r="AI385" s="20">
        <v>0</v>
      </c>
    </row>
    <row r="386" spans="2:36" s="22" customFormat="1" ht="15.75" hidden="1" customHeight="1">
      <c r="B386" s="111" t="s">
        <v>355</v>
      </c>
      <c r="C386" s="124"/>
      <c r="D386" s="122"/>
      <c r="E386" s="122"/>
      <c r="F386" s="122"/>
      <c r="G386" s="122"/>
      <c r="H386" s="122"/>
      <c r="I386" s="122"/>
      <c r="J386" s="122"/>
      <c r="K386" s="122"/>
      <c r="L386" s="122"/>
      <c r="M386" s="122"/>
      <c r="N386" s="120" t="s">
        <v>276</v>
      </c>
      <c r="O386" s="120" t="s">
        <v>277</v>
      </c>
      <c r="P386" s="122"/>
      <c r="Q386" s="122"/>
      <c r="R386" s="122"/>
      <c r="S386" s="122"/>
      <c r="T386" s="120" t="s">
        <v>278</v>
      </c>
      <c r="U386" s="120"/>
      <c r="V386" s="120"/>
      <c r="W386" s="120"/>
      <c r="X386" s="120"/>
      <c r="Y386" s="120"/>
      <c r="Z386" s="120"/>
      <c r="AA386" s="120"/>
      <c r="AB386" s="122"/>
      <c r="AC386" s="122"/>
      <c r="AD386" s="122"/>
      <c r="AE386" s="122"/>
      <c r="AF386" s="122"/>
      <c r="AG386" s="122"/>
      <c r="AH386" s="122"/>
      <c r="AI386" s="120" t="s">
        <v>279</v>
      </c>
      <c r="AJ386" s="21"/>
    </row>
    <row r="387" spans="2:36" s="22" customFormat="1" ht="15" hidden="1" customHeight="1">
      <c r="B387" s="112"/>
      <c r="C387" s="124"/>
      <c r="D387" s="123"/>
      <c r="E387" s="123"/>
      <c r="F387" s="123"/>
      <c r="G387" s="123"/>
      <c r="H387" s="123"/>
      <c r="I387" s="123"/>
      <c r="J387" s="123"/>
      <c r="K387" s="123"/>
      <c r="L387" s="123"/>
      <c r="M387" s="123"/>
      <c r="N387" s="121"/>
      <c r="O387" s="121"/>
      <c r="P387" s="123"/>
      <c r="Q387" s="123"/>
      <c r="R387" s="123"/>
      <c r="S387" s="123"/>
      <c r="T387" s="121"/>
      <c r="U387" s="121"/>
      <c r="V387" s="121"/>
      <c r="W387" s="121"/>
      <c r="X387" s="121"/>
      <c r="Y387" s="121"/>
      <c r="Z387" s="121"/>
      <c r="AA387" s="121"/>
      <c r="AB387" s="123"/>
      <c r="AC387" s="123"/>
      <c r="AD387" s="123"/>
      <c r="AE387" s="123"/>
      <c r="AF387" s="123"/>
      <c r="AG387" s="123"/>
      <c r="AH387" s="123"/>
      <c r="AI387" s="121"/>
      <c r="AJ387" s="21"/>
    </row>
    <row r="388" spans="2:36" s="22" customFormat="1" ht="15" hidden="1" thickBot="1">
      <c r="B388" s="23" t="s">
        <v>275</v>
      </c>
      <c r="C388" s="24" t="str">
        <f>BIN2HEX(D388&amp;E388&amp;F388&amp;G388)&amp;BIN2HEX(H388&amp;I388&amp;J388&amp;K388)&amp;BIN2HEX(L388&amp;M388&amp;N388&amp;O388)&amp;BIN2HEX(P388&amp;Q388&amp;R388&amp;S388)&amp;BIN2HEX(T388&amp;U388&amp;V388&amp;W388)&amp;BIN2HEX(X388&amp;Y388&amp;Z388&amp;AA388)&amp;BIN2HEX(AB388&amp;AC388&amp;AD388&amp;AE388)&amp;BIN2HEX(AF388&amp;AG388&amp;AH388&amp;AI388)</f>
        <v>00011006</v>
      </c>
      <c r="D388" s="25">
        <v>0</v>
      </c>
      <c r="E388" s="25">
        <v>0</v>
      </c>
      <c r="F388" s="25">
        <v>0</v>
      </c>
      <c r="G388" s="25">
        <v>0</v>
      </c>
      <c r="H388" s="25">
        <v>0</v>
      </c>
      <c r="I388" s="25">
        <v>0</v>
      </c>
      <c r="J388" s="25">
        <v>0</v>
      </c>
      <c r="K388" s="25">
        <v>0</v>
      </c>
      <c r="L388" s="25">
        <v>0</v>
      </c>
      <c r="M388" s="25">
        <v>0</v>
      </c>
      <c r="N388" s="25">
        <v>0</v>
      </c>
      <c r="O388" s="25">
        <v>0</v>
      </c>
      <c r="P388" s="25">
        <v>0</v>
      </c>
      <c r="Q388" s="25">
        <v>0</v>
      </c>
      <c r="R388" s="25">
        <v>0</v>
      </c>
      <c r="S388" s="25">
        <v>1</v>
      </c>
      <c r="T388" s="25">
        <v>0</v>
      </c>
      <c r="U388" s="25">
        <v>0</v>
      </c>
      <c r="V388" s="25">
        <v>0</v>
      </c>
      <c r="W388" s="25">
        <v>1</v>
      </c>
      <c r="X388" s="25">
        <v>0</v>
      </c>
      <c r="Y388" s="25">
        <v>0</v>
      </c>
      <c r="Z388" s="25">
        <v>0</v>
      </c>
      <c r="AA388" s="25">
        <v>0</v>
      </c>
      <c r="AB388" s="25">
        <v>0</v>
      </c>
      <c r="AC388" s="25">
        <v>0</v>
      </c>
      <c r="AD388" s="25">
        <v>0</v>
      </c>
      <c r="AE388" s="25">
        <v>0</v>
      </c>
      <c r="AF388" s="25">
        <v>0</v>
      </c>
      <c r="AG388" s="25">
        <v>1</v>
      </c>
      <c r="AH388" s="25">
        <v>1</v>
      </c>
      <c r="AI388" s="26">
        <v>0</v>
      </c>
    </row>
  </sheetData>
  <sheetProtection algorithmName="SHA-512" hashValue="+Y8ZtSowffDS5RbMGwPirBaEm53PF716hTW98DmH8+e2KW46uE+0pd/lBpst47l4bGe+bT4ngmKW/VQc0mxpeQ==" saltValue="CcpOjg2J8hM88THr44t2hg==" spinCount="100000" sheet="1" objects="1" scenarios="1"/>
  <mergeCells count="677">
    <mergeCell ref="I27:AE31"/>
    <mergeCell ref="I5:AE16"/>
    <mergeCell ref="B386:B387"/>
    <mergeCell ref="C386:C387"/>
    <mergeCell ref="AC375:AE376"/>
    <mergeCell ref="AF375:AF376"/>
    <mergeCell ref="AG375:AG376"/>
    <mergeCell ref="AH375:AH376"/>
    <mergeCell ref="B381:B382"/>
    <mergeCell ref="C381:C382"/>
    <mergeCell ref="D381:D382"/>
    <mergeCell ref="E381:G382"/>
    <mergeCell ref="H381:H382"/>
    <mergeCell ref="I381:K382"/>
    <mergeCell ref="L381:P382"/>
    <mergeCell ref="Q381:S382"/>
    <mergeCell ref="T381:W382"/>
    <mergeCell ref="X381:AA382"/>
    <mergeCell ref="AB381:AB382"/>
    <mergeCell ref="AC381:AC382"/>
    <mergeCell ref="B375:B376"/>
    <mergeCell ref="C375:C376"/>
    <mergeCell ref="B356:B357"/>
    <mergeCell ref="C356:C357"/>
    <mergeCell ref="D356:K357"/>
    <mergeCell ref="B370:B371"/>
    <mergeCell ref="C370:C371"/>
    <mergeCell ref="D370:S371"/>
    <mergeCell ref="Y370:AH371"/>
    <mergeCell ref="T370:U371"/>
    <mergeCell ref="V370:X371"/>
    <mergeCell ref="B351:B352"/>
    <mergeCell ref="C351:C352"/>
    <mergeCell ref="D351:D352"/>
    <mergeCell ref="E351:E352"/>
    <mergeCell ref="F351:H352"/>
    <mergeCell ref="I351:K352"/>
    <mergeCell ref="L351:L352"/>
    <mergeCell ref="M351:O352"/>
    <mergeCell ref="P351:P352"/>
    <mergeCell ref="Q351:Q352"/>
    <mergeCell ref="R351:S352"/>
    <mergeCell ref="T351:AI352"/>
    <mergeCell ref="L356:S357"/>
    <mergeCell ref="T356:T357"/>
    <mergeCell ref="N386:N387"/>
    <mergeCell ref="O386:O387"/>
    <mergeCell ref="D386:M387"/>
    <mergeCell ref="P386:S387"/>
    <mergeCell ref="T386:AA387"/>
    <mergeCell ref="AB386:AH387"/>
    <mergeCell ref="AI386:AI387"/>
    <mergeCell ref="AG356:AI357"/>
    <mergeCell ref="AI370:AI371"/>
    <mergeCell ref="AD381:AF382"/>
    <mergeCell ref="AG381:AI382"/>
    <mergeCell ref="U356:Y357"/>
    <mergeCell ref="Z356:Z357"/>
    <mergeCell ref="AA356:AB357"/>
    <mergeCell ref="AC356:AE357"/>
    <mergeCell ref="AF356:AF357"/>
    <mergeCell ref="AI375:AI376"/>
    <mergeCell ref="D375:P376"/>
    <mergeCell ref="Q375:S376"/>
    <mergeCell ref="T375:T376"/>
    <mergeCell ref="U375:W376"/>
    <mergeCell ref="X375:X376"/>
    <mergeCell ref="Y375:AA376"/>
    <mergeCell ref="AB375:AB376"/>
    <mergeCell ref="B336:B337"/>
    <mergeCell ref="C336:C337"/>
    <mergeCell ref="T336:T337"/>
    <mergeCell ref="B346:B347"/>
    <mergeCell ref="C346:C347"/>
    <mergeCell ref="T341:U342"/>
    <mergeCell ref="V341:AA342"/>
    <mergeCell ref="AB341:AC342"/>
    <mergeCell ref="AD341:AI342"/>
    <mergeCell ref="B341:B342"/>
    <mergeCell ref="C341:C342"/>
    <mergeCell ref="D341:K342"/>
    <mergeCell ref="L341:S342"/>
    <mergeCell ref="D346:AB347"/>
    <mergeCell ref="AC346:AI347"/>
    <mergeCell ref="AA331:AB332"/>
    <mergeCell ref="AC331:AE332"/>
    <mergeCell ref="AF331:AF332"/>
    <mergeCell ref="AG331:AI332"/>
    <mergeCell ref="AG336:AI337"/>
    <mergeCell ref="D336:F337"/>
    <mergeCell ref="G336:S337"/>
    <mergeCell ref="U336:W337"/>
    <mergeCell ref="X336:Z337"/>
    <mergeCell ref="AA336:AC337"/>
    <mergeCell ref="AD336:AF337"/>
    <mergeCell ref="AH326:AH327"/>
    <mergeCell ref="AI326:AI327"/>
    <mergeCell ref="B331:B332"/>
    <mergeCell ref="C331:C332"/>
    <mergeCell ref="AA326:AC327"/>
    <mergeCell ref="D326:N327"/>
    <mergeCell ref="O326:O327"/>
    <mergeCell ref="P326:P327"/>
    <mergeCell ref="Q326:Q327"/>
    <mergeCell ref="R326:S327"/>
    <mergeCell ref="T326:V327"/>
    <mergeCell ref="W326:W327"/>
    <mergeCell ref="X326:X327"/>
    <mergeCell ref="Y326:Z327"/>
    <mergeCell ref="AD326:AD327"/>
    <mergeCell ref="AE326:AF327"/>
    <mergeCell ref="AG326:AG327"/>
    <mergeCell ref="B326:B327"/>
    <mergeCell ref="C326:C327"/>
    <mergeCell ref="D331:K332"/>
    <mergeCell ref="L331:S332"/>
    <mergeCell ref="T331:T332"/>
    <mergeCell ref="U331:Y332"/>
    <mergeCell ref="Z331:Z332"/>
    <mergeCell ref="AG321:AI322"/>
    <mergeCell ref="D321:J322"/>
    <mergeCell ref="K321:S322"/>
    <mergeCell ref="T321:Z322"/>
    <mergeCell ref="AA321:AC322"/>
    <mergeCell ref="AD321:AF322"/>
    <mergeCell ref="B321:B322"/>
    <mergeCell ref="C321:C322"/>
    <mergeCell ref="D316:F317"/>
    <mergeCell ref="G316:I317"/>
    <mergeCell ref="J316:N317"/>
    <mergeCell ref="O316:S317"/>
    <mergeCell ref="T316:T317"/>
    <mergeCell ref="U316:W317"/>
    <mergeCell ref="X316:Z317"/>
    <mergeCell ref="AA316:AD317"/>
    <mergeCell ref="AE316:AF317"/>
    <mergeCell ref="AG316:AI317"/>
    <mergeCell ref="B316:B317"/>
    <mergeCell ref="C316:C317"/>
    <mergeCell ref="AA311:AE312"/>
    <mergeCell ref="AF311:AI312"/>
    <mergeCell ref="D311:K312"/>
    <mergeCell ref="L311:S312"/>
    <mergeCell ref="T311:V312"/>
    <mergeCell ref="W311:Z312"/>
    <mergeCell ref="B311:B312"/>
    <mergeCell ref="C311:C312"/>
    <mergeCell ref="D306:E307"/>
    <mergeCell ref="F306:H307"/>
    <mergeCell ref="L306:O307"/>
    <mergeCell ref="P306:S307"/>
    <mergeCell ref="T306:T307"/>
    <mergeCell ref="U306:W307"/>
    <mergeCell ref="X306:Z307"/>
    <mergeCell ref="AA306:AE307"/>
    <mergeCell ref="AF306:AI307"/>
    <mergeCell ref="AC301:AC302"/>
    <mergeCell ref="AD301:AF302"/>
    <mergeCell ref="AG301:AI302"/>
    <mergeCell ref="B306:B307"/>
    <mergeCell ref="C306:C307"/>
    <mergeCell ref="I306:K307"/>
    <mergeCell ref="B301:B302"/>
    <mergeCell ref="C301:C302"/>
    <mergeCell ref="D301:D302"/>
    <mergeCell ref="E301:G302"/>
    <mergeCell ref="H301:H302"/>
    <mergeCell ref="I301:K302"/>
    <mergeCell ref="L301:P302"/>
    <mergeCell ref="Q301:S302"/>
    <mergeCell ref="T301:W302"/>
    <mergeCell ref="X301:AA302"/>
    <mergeCell ref="AB301:AB302"/>
    <mergeCell ref="D295:W296"/>
    <mergeCell ref="X295:X296"/>
    <mergeCell ref="Y295:Y296"/>
    <mergeCell ref="Z295:AI296"/>
    <mergeCell ref="B295:B296"/>
    <mergeCell ref="C295:C296"/>
    <mergeCell ref="H289:J290"/>
    <mergeCell ref="K289:M290"/>
    <mergeCell ref="N289:P290"/>
    <mergeCell ref="X289:Z290"/>
    <mergeCell ref="AA289:AC290"/>
    <mergeCell ref="AG289:AI290"/>
    <mergeCell ref="AD289:AF290"/>
    <mergeCell ref="B289:B290"/>
    <mergeCell ref="C289:C290"/>
    <mergeCell ref="D289:D290"/>
    <mergeCell ref="E289:G290"/>
    <mergeCell ref="Q289:S290"/>
    <mergeCell ref="T289:T290"/>
    <mergeCell ref="U289:W290"/>
    <mergeCell ref="AG283:AI284"/>
    <mergeCell ref="T283:T284"/>
    <mergeCell ref="U283:W284"/>
    <mergeCell ref="X283:X284"/>
    <mergeCell ref="Y283:AA284"/>
    <mergeCell ref="AB283:AB284"/>
    <mergeCell ref="I283:K284"/>
    <mergeCell ref="L283:L284"/>
    <mergeCell ref="M283:O284"/>
    <mergeCell ref="P283:P284"/>
    <mergeCell ref="Q283:S284"/>
    <mergeCell ref="B283:B284"/>
    <mergeCell ref="C283:C284"/>
    <mergeCell ref="D283:D284"/>
    <mergeCell ref="E283:G284"/>
    <mergeCell ref="H283:H284"/>
    <mergeCell ref="Y277:AA278"/>
    <mergeCell ref="AB277:AB278"/>
    <mergeCell ref="AC277:AE278"/>
    <mergeCell ref="AF277:AF278"/>
    <mergeCell ref="AC283:AE284"/>
    <mergeCell ref="AF283:AF284"/>
    <mergeCell ref="AG277:AI278"/>
    <mergeCell ref="AC271:AE272"/>
    <mergeCell ref="AF271:AF272"/>
    <mergeCell ref="AG271:AI272"/>
    <mergeCell ref="B277:B278"/>
    <mergeCell ref="C277:C278"/>
    <mergeCell ref="D277:D278"/>
    <mergeCell ref="E277:G278"/>
    <mergeCell ref="H277:H278"/>
    <mergeCell ref="I277:K278"/>
    <mergeCell ref="L277:L278"/>
    <mergeCell ref="M277:O278"/>
    <mergeCell ref="P277:P278"/>
    <mergeCell ref="Q277:S278"/>
    <mergeCell ref="T277:T278"/>
    <mergeCell ref="U277:W278"/>
    <mergeCell ref="X277:X278"/>
    <mergeCell ref="T271:T272"/>
    <mergeCell ref="U271:W272"/>
    <mergeCell ref="X271:X272"/>
    <mergeCell ref="Y271:AA272"/>
    <mergeCell ref="AB271:AB272"/>
    <mergeCell ref="I271:K272"/>
    <mergeCell ref="L271:L272"/>
    <mergeCell ref="Y265:AA266"/>
    <mergeCell ref="AC265:AE266"/>
    <mergeCell ref="AF265:AF266"/>
    <mergeCell ref="M271:O272"/>
    <mergeCell ref="P271:P272"/>
    <mergeCell ref="Q271:S272"/>
    <mergeCell ref="B271:B272"/>
    <mergeCell ref="C271:C272"/>
    <mergeCell ref="D271:D272"/>
    <mergeCell ref="E271:G272"/>
    <mergeCell ref="H271:H272"/>
    <mergeCell ref="T265:T266"/>
    <mergeCell ref="AG265:AI266"/>
    <mergeCell ref="B265:B266"/>
    <mergeCell ref="C265:C266"/>
    <mergeCell ref="D265:D266"/>
    <mergeCell ref="L265:L266"/>
    <mergeCell ref="E265:G266"/>
    <mergeCell ref="H265:H266"/>
    <mergeCell ref="I265:K266"/>
    <mergeCell ref="M259:S260"/>
    <mergeCell ref="T259:T260"/>
    <mergeCell ref="U259:AA260"/>
    <mergeCell ref="AB259:AB260"/>
    <mergeCell ref="AC259:AI260"/>
    <mergeCell ref="B259:B260"/>
    <mergeCell ref="C259:C260"/>
    <mergeCell ref="D259:D260"/>
    <mergeCell ref="E259:K260"/>
    <mergeCell ref="L259:L260"/>
    <mergeCell ref="AB265:AB266"/>
    <mergeCell ref="M265:O266"/>
    <mergeCell ref="P265:P266"/>
    <mergeCell ref="Q265:S266"/>
    <mergeCell ref="U265:W266"/>
    <mergeCell ref="X265:X266"/>
    <mergeCell ref="B247:B248"/>
    <mergeCell ref="C247:C248"/>
    <mergeCell ref="B253:B254"/>
    <mergeCell ref="C253:C254"/>
    <mergeCell ref="L253:L254"/>
    <mergeCell ref="M253:S254"/>
    <mergeCell ref="AB253:AB254"/>
    <mergeCell ref="AC253:AI254"/>
    <mergeCell ref="E253:K254"/>
    <mergeCell ref="D253:D254"/>
    <mergeCell ref="T253:T254"/>
    <mergeCell ref="U253:AA254"/>
    <mergeCell ref="T241:W242"/>
    <mergeCell ref="X247:AA248"/>
    <mergeCell ref="AB247:AB248"/>
    <mergeCell ref="AC247:AI248"/>
    <mergeCell ref="D247:G248"/>
    <mergeCell ref="H247:K248"/>
    <mergeCell ref="L247:L248"/>
    <mergeCell ref="M247:S248"/>
    <mergeCell ref="T247:W248"/>
    <mergeCell ref="B241:B242"/>
    <mergeCell ref="C241:C242"/>
    <mergeCell ref="AB235:AB236"/>
    <mergeCell ref="AC235:AI236"/>
    <mergeCell ref="L235:L236"/>
    <mergeCell ref="M235:S236"/>
    <mergeCell ref="T235:X236"/>
    <mergeCell ref="Y235:Z236"/>
    <mergeCell ref="AA235:AA236"/>
    <mergeCell ref="B235:B236"/>
    <mergeCell ref="C235:C236"/>
    <mergeCell ref="D235:H236"/>
    <mergeCell ref="I235:J236"/>
    <mergeCell ref="K235:K236"/>
    <mergeCell ref="D241:D242"/>
    <mergeCell ref="E241:E242"/>
    <mergeCell ref="F241:F242"/>
    <mergeCell ref="G241:G242"/>
    <mergeCell ref="H241:K242"/>
    <mergeCell ref="AB241:AB242"/>
    <mergeCell ref="AC241:AI242"/>
    <mergeCell ref="X241:AA242"/>
    <mergeCell ref="L241:L242"/>
    <mergeCell ref="M241:S242"/>
    <mergeCell ref="B229:B230"/>
    <mergeCell ref="C229:C230"/>
    <mergeCell ref="D229:H230"/>
    <mergeCell ref="D224:H225"/>
    <mergeCell ref="I224:I225"/>
    <mergeCell ref="J224:L225"/>
    <mergeCell ref="M224:O225"/>
    <mergeCell ref="P224:R225"/>
    <mergeCell ref="T224:AC225"/>
    <mergeCell ref="I229:J230"/>
    <mergeCell ref="K229:K230"/>
    <mergeCell ref="L229:L230"/>
    <mergeCell ref="M229:S230"/>
    <mergeCell ref="AA229:AA230"/>
    <mergeCell ref="T229:X230"/>
    <mergeCell ref="Y229:Z230"/>
    <mergeCell ref="AB229:AB230"/>
    <mergeCell ref="AC229:AI230"/>
    <mergeCell ref="AD224:AG225"/>
    <mergeCell ref="AH224:AI225"/>
    <mergeCell ref="B224:B225"/>
    <mergeCell ref="C224:C225"/>
    <mergeCell ref="S224:S225"/>
    <mergeCell ref="T219:X220"/>
    <mergeCell ref="Y219:AA220"/>
    <mergeCell ref="AB219:AC220"/>
    <mergeCell ref="AD219:AF220"/>
    <mergeCell ref="AG219:AI220"/>
    <mergeCell ref="B219:B220"/>
    <mergeCell ref="C219:C220"/>
    <mergeCell ref="D219:Q220"/>
    <mergeCell ref="R219:R220"/>
    <mergeCell ref="S219:S220"/>
    <mergeCell ref="T214:X215"/>
    <mergeCell ref="Y214:AA215"/>
    <mergeCell ref="AB214:AC215"/>
    <mergeCell ref="AD214:AF215"/>
    <mergeCell ref="AG214:AI215"/>
    <mergeCell ref="B214:B215"/>
    <mergeCell ref="C214:C215"/>
    <mergeCell ref="D214:Q215"/>
    <mergeCell ref="R214:R215"/>
    <mergeCell ref="S214:S215"/>
    <mergeCell ref="T209:X210"/>
    <mergeCell ref="Y209:AA210"/>
    <mergeCell ref="AB209:AC210"/>
    <mergeCell ref="AD209:AF210"/>
    <mergeCell ref="AG209:AI210"/>
    <mergeCell ref="B209:B210"/>
    <mergeCell ref="C209:C210"/>
    <mergeCell ref="D209:Q210"/>
    <mergeCell ref="R209:R210"/>
    <mergeCell ref="S209:S210"/>
    <mergeCell ref="T204:X205"/>
    <mergeCell ref="Y204:AA205"/>
    <mergeCell ref="AB204:AC205"/>
    <mergeCell ref="AD204:AF205"/>
    <mergeCell ref="AG204:AI205"/>
    <mergeCell ref="B204:B205"/>
    <mergeCell ref="C204:C205"/>
    <mergeCell ref="D204:Q205"/>
    <mergeCell ref="R204:R205"/>
    <mergeCell ref="S204:S205"/>
    <mergeCell ref="T199:X200"/>
    <mergeCell ref="Y199:AA200"/>
    <mergeCell ref="AB199:AC200"/>
    <mergeCell ref="AD199:AF200"/>
    <mergeCell ref="AG199:AI200"/>
    <mergeCell ref="B199:B200"/>
    <mergeCell ref="C199:C200"/>
    <mergeCell ref="D199:Q200"/>
    <mergeCell ref="R199:R200"/>
    <mergeCell ref="S199:S200"/>
    <mergeCell ref="T194:X195"/>
    <mergeCell ref="Y194:AA195"/>
    <mergeCell ref="AB194:AC195"/>
    <mergeCell ref="AD194:AF195"/>
    <mergeCell ref="AG194:AI195"/>
    <mergeCell ref="B194:B195"/>
    <mergeCell ref="C194:C195"/>
    <mergeCell ref="D194:Q195"/>
    <mergeCell ref="R194:R195"/>
    <mergeCell ref="S194:S195"/>
    <mergeCell ref="AB184:AC185"/>
    <mergeCell ref="AD184:AF185"/>
    <mergeCell ref="AG184:AI185"/>
    <mergeCell ref="T184:X185"/>
    <mergeCell ref="B189:B190"/>
    <mergeCell ref="C189:C190"/>
    <mergeCell ref="D189:Q190"/>
    <mergeCell ref="R189:R190"/>
    <mergeCell ref="S189:S190"/>
    <mergeCell ref="T189:X190"/>
    <mergeCell ref="Y189:AA190"/>
    <mergeCell ref="AB189:AC190"/>
    <mergeCell ref="AD189:AF190"/>
    <mergeCell ref="AG189:AI190"/>
    <mergeCell ref="Y184:AA185"/>
    <mergeCell ref="B184:B185"/>
    <mergeCell ref="C184:C185"/>
    <mergeCell ref="D184:Q185"/>
    <mergeCell ref="R184:R185"/>
    <mergeCell ref="S184:S185"/>
    <mergeCell ref="B179:B180"/>
    <mergeCell ref="C179:C180"/>
    <mergeCell ref="D179:AC180"/>
    <mergeCell ref="AD179:AF180"/>
    <mergeCell ref="AG179:AI180"/>
    <mergeCell ref="B174:B175"/>
    <mergeCell ref="C174:C175"/>
    <mergeCell ref="D174:AC175"/>
    <mergeCell ref="AD174:AF175"/>
    <mergeCell ref="AG174:AI175"/>
    <mergeCell ref="B169:B170"/>
    <mergeCell ref="C169:C170"/>
    <mergeCell ref="D169:AC170"/>
    <mergeCell ref="AD169:AF170"/>
    <mergeCell ref="AG169:AI170"/>
    <mergeCell ref="B164:B165"/>
    <mergeCell ref="C164:C165"/>
    <mergeCell ref="D164:AC165"/>
    <mergeCell ref="AD164:AF165"/>
    <mergeCell ref="AG164:AI165"/>
    <mergeCell ref="B159:B160"/>
    <mergeCell ref="C159:C160"/>
    <mergeCell ref="D159:AC160"/>
    <mergeCell ref="AD159:AF160"/>
    <mergeCell ref="AG159:AI160"/>
    <mergeCell ref="B154:B155"/>
    <mergeCell ref="C154:C155"/>
    <mergeCell ref="D154:AC155"/>
    <mergeCell ref="AD154:AF155"/>
    <mergeCell ref="AG154:AI155"/>
    <mergeCell ref="C129:C130"/>
    <mergeCell ref="B149:B150"/>
    <mergeCell ref="C149:C150"/>
    <mergeCell ref="D149:AC150"/>
    <mergeCell ref="AD149:AF150"/>
    <mergeCell ref="AG149:AI150"/>
    <mergeCell ref="B144:B145"/>
    <mergeCell ref="C144:C145"/>
    <mergeCell ref="D144:AC145"/>
    <mergeCell ref="AD144:AF145"/>
    <mergeCell ref="AG144:AI145"/>
    <mergeCell ref="T119:U120"/>
    <mergeCell ref="B139:B140"/>
    <mergeCell ref="C139:C140"/>
    <mergeCell ref="D139:Q140"/>
    <mergeCell ref="R139:R140"/>
    <mergeCell ref="S139:AI140"/>
    <mergeCell ref="AG129:AI130"/>
    <mergeCell ref="B134:B135"/>
    <mergeCell ref="C134:C135"/>
    <mergeCell ref="D134:S135"/>
    <mergeCell ref="T134:U135"/>
    <mergeCell ref="V134:V135"/>
    <mergeCell ref="W134:W135"/>
    <mergeCell ref="X134:X135"/>
    <mergeCell ref="Y134:AA135"/>
    <mergeCell ref="AB134:AC135"/>
    <mergeCell ref="AD134:AF135"/>
    <mergeCell ref="AG134:AI135"/>
    <mergeCell ref="W129:W130"/>
    <mergeCell ref="X129:X130"/>
    <mergeCell ref="Y129:AA130"/>
    <mergeCell ref="AB129:AC130"/>
    <mergeCell ref="AD129:AF130"/>
    <mergeCell ref="B129:B130"/>
    <mergeCell ref="V109:V110"/>
    <mergeCell ref="D129:S130"/>
    <mergeCell ref="T129:U130"/>
    <mergeCell ref="V129:V130"/>
    <mergeCell ref="AG119:AI120"/>
    <mergeCell ref="B124:B125"/>
    <mergeCell ref="C124:C125"/>
    <mergeCell ref="D124:S125"/>
    <mergeCell ref="T124:U125"/>
    <mergeCell ref="V124:V125"/>
    <mergeCell ref="W124:W125"/>
    <mergeCell ref="X124:X125"/>
    <mergeCell ref="Y124:AA125"/>
    <mergeCell ref="AB124:AC125"/>
    <mergeCell ref="AD124:AF125"/>
    <mergeCell ref="AG124:AI125"/>
    <mergeCell ref="W119:W120"/>
    <mergeCell ref="X119:X120"/>
    <mergeCell ref="Y119:AA120"/>
    <mergeCell ref="AB119:AC120"/>
    <mergeCell ref="AD119:AF120"/>
    <mergeCell ref="B119:B120"/>
    <mergeCell ref="C119:C120"/>
    <mergeCell ref="D119:S120"/>
    <mergeCell ref="AD104:AF105"/>
    <mergeCell ref="AG104:AI105"/>
    <mergeCell ref="V119:V120"/>
    <mergeCell ref="AG109:AI110"/>
    <mergeCell ref="B114:B115"/>
    <mergeCell ref="C114:C115"/>
    <mergeCell ref="D114:S115"/>
    <mergeCell ref="T114:U115"/>
    <mergeCell ref="V114:V115"/>
    <mergeCell ref="W114:W115"/>
    <mergeCell ref="X114:X115"/>
    <mergeCell ref="Y114:AA115"/>
    <mergeCell ref="AB114:AC115"/>
    <mergeCell ref="AD114:AF115"/>
    <mergeCell ref="AG114:AI115"/>
    <mergeCell ref="W109:W110"/>
    <mergeCell ref="X109:X110"/>
    <mergeCell ref="Y109:AA110"/>
    <mergeCell ref="AB109:AC110"/>
    <mergeCell ref="AD109:AF110"/>
    <mergeCell ref="B109:B110"/>
    <mergeCell ref="C109:C110"/>
    <mergeCell ref="D109:S110"/>
    <mergeCell ref="T109:U110"/>
    <mergeCell ref="B104:B105"/>
    <mergeCell ref="C104:C105"/>
    <mergeCell ref="D104:S105"/>
    <mergeCell ref="T104:U105"/>
    <mergeCell ref="V104:V105"/>
    <mergeCell ref="W104:W105"/>
    <mergeCell ref="X104:X105"/>
    <mergeCell ref="Y104:AA105"/>
    <mergeCell ref="AB104:AC105"/>
    <mergeCell ref="S94:AI95"/>
    <mergeCell ref="B99:B100"/>
    <mergeCell ref="C99:C100"/>
    <mergeCell ref="T99:U100"/>
    <mergeCell ref="V99:V100"/>
    <mergeCell ref="W99:W100"/>
    <mergeCell ref="X99:X100"/>
    <mergeCell ref="Y99:AA100"/>
    <mergeCell ref="AB99:AC100"/>
    <mergeCell ref="AD99:AF100"/>
    <mergeCell ref="B94:B95"/>
    <mergeCell ref="C94:C95"/>
    <mergeCell ref="D94:Q95"/>
    <mergeCell ref="R94:R95"/>
    <mergeCell ref="AG99:AI100"/>
    <mergeCell ref="D99:S100"/>
    <mergeCell ref="B89:B90"/>
    <mergeCell ref="C89:C90"/>
    <mergeCell ref="D89:AC90"/>
    <mergeCell ref="AD89:AF90"/>
    <mergeCell ref="AG89:AI90"/>
    <mergeCell ref="AD79:AF80"/>
    <mergeCell ref="AG79:AI80"/>
    <mergeCell ref="B84:B85"/>
    <mergeCell ref="C84:C85"/>
    <mergeCell ref="D84:Q85"/>
    <mergeCell ref="R84:R85"/>
    <mergeCell ref="S84:S85"/>
    <mergeCell ref="T84:U85"/>
    <mergeCell ref="V84:V85"/>
    <mergeCell ref="W84:W85"/>
    <mergeCell ref="X84:X85"/>
    <mergeCell ref="Y84:AA85"/>
    <mergeCell ref="AB84:AC85"/>
    <mergeCell ref="AD84:AF85"/>
    <mergeCell ref="AG84:AI85"/>
    <mergeCell ref="B54:B55"/>
    <mergeCell ref="C54:C55"/>
    <mergeCell ref="D54:Q55"/>
    <mergeCell ref="R54:R55"/>
    <mergeCell ref="S54:S55"/>
    <mergeCell ref="AD64:AF65"/>
    <mergeCell ref="AG64:AI65"/>
    <mergeCell ref="D64:AC65"/>
    <mergeCell ref="B64:B65"/>
    <mergeCell ref="C64:C65"/>
    <mergeCell ref="T59:X60"/>
    <mergeCell ref="Y59:AA60"/>
    <mergeCell ref="AB59:AC60"/>
    <mergeCell ref="AD59:AF60"/>
    <mergeCell ref="AG59:AI60"/>
    <mergeCell ref="B59:B60"/>
    <mergeCell ref="C59:C60"/>
    <mergeCell ref="D59:Q60"/>
    <mergeCell ref="R59:R60"/>
    <mergeCell ref="S59:S60"/>
    <mergeCell ref="B2:C2"/>
    <mergeCell ref="B17:C17"/>
    <mergeCell ref="B34:B35"/>
    <mergeCell ref="B39:B40"/>
    <mergeCell ref="B49:B50"/>
    <mergeCell ref="B44:B45"/>
    <mergeCell ref="C34:C35"/>
    <mergeCell ref="C39:C40"/>
    <mergeCell ref="C44:C45"/>
    <mergeCell ref="C49:C50"/>
    <mergeCell ref="B26:C26"/>
    <mergeCell ref="B74:B75"/>
    <mergeCell ref="R74:R75"/>
    <mergeCell ref="D74:Q75"/>
    <mergeCell ref="C69:C70"/>
    <mergeCell ref="C74:C75"/>
    <mergeCell ref="C79:C80"/>
    <mergeCell ref="Y49:AA50"/>
    <mergeCell ref="AB49:AC50"/>
    <mergeCell ref="AD49:AF50"/>
    <mergeCell ref="B69:B70"/>
    <mergeCell ref="AD69:AF70"/>
    <mergeCell ref="R69:R70"/>
    <mergeCell ref="S69:S70"/>
    <mergeCell ref="Y69:AA70"/>
    <mergeCell ref="AB69:AC70"/>
    <mergeCell ref="P69:Q70"/>
    <mergeCell ref="D69:O70"/>
    <mergeCell ref="D49:Q50"/>
    <mergeCell ref="R49:R50"/>
    <mergeCell ref="S49:S50"/>
    <mergeCell ref="T49:X50"/>
    <mergeCell ref="T69:U70"/>
    <mergeCell ref="V69:V70"/>
    <mergeCell ref="W69:W70"/>
    <mergeCell ref="AD74:AF75"/>
    <mergeCell ref="S44:S45"/>
    <mergeCell ref="R44:R45"/>
    <mergeCell ref="Y44:AA45"/>
    <mergeCell ref="AD44:AF45"/>
    <mergeCell ref="T44:X45"/>
    <mergeCell ref="AB44:AC45"/>
    <mergeCell ref="AG44:AI45"/>
    <mergeCell ref="D44:Q45"/>
    <mergeCell ref="AG49:AI50"/>
    <mergeCell ref="AG69:AI70"/>
    <mergeCell ref="X69:X70"/>
    <mergeCell ref="T54:X55"/>
    <mergeCell ref="Y54:AA55"/>
    <mergeCell ref="AB54:AC55"/>
    <mergeCell ref="AD54:AF55"/>
    <mergeCell ref="AG54:AI55"/>
    <mergeCell ref="R34:AI35"/>
    <mergeCell ref="P34:Q35"/>
    <mergeCell ref="D34:O35"/>
    <mergeCell ref="AG74:AI75"/>
    <mergeCell ref="B79:B80"/>
    <mergeCell ref="D79:Q80"/>
    <mergeCell ref="R79:R80"/>
    <mergeCell ref="S79:S80"/>
    <mergeCell ref="T79:U80"/>
    <mergeCell ref="V79:V80"/>
    <mergeCell ref="W79:W80"/>
    <mergeCell ref="X79:X80"/>
    <mergeCell ref="Y79:AA80"/>
    <mergeCell ref="AB79:AC80"/>
    <mergeCell ref="D39:V40"/>
    <mergeCell ref="X39:AI40"/>
    <mergeCell ref="W39:W40"/>
    <mergeCell ref="S74:S75"/>
    <mergeCell ref="T74:U75"/>
    <mergeCell ref="V74:V75"/>
    <mergeCell ref="W74:W75"/>
    <mergeCell ref="X74:X75"/>
    <mergeCell ref="Y74:AA75"/>
    <mergeCell ref="AB74:AC75"/>
  </mergeCells>
  <phoneticPr fontId="20" type="noConversion"/>
  <dataValidations count="15">
    <dataValidation type="list" allowBlank="1" showInputMessage="1" showErrorMessage="1" sqref="C23" xr:uid="{00000000-0002-0000-0100-000000000000}">
      <formula1>"400,528"</formula1>
    </dataValidation>
    <dataValidation type="list" allowBlank="1" showInputMessage="1" showErrorMessage="1" sqref="C25" xr:uid="{00000000-0002-0000-0100-000001000000}">
      <formula1>"Enable,Disable"</formula1>
    </dataValidation>
    <dataValidation type="list" allowBlank="1" showInputMessage="1" showErrorMessage="1" sqref="C27:C30" xr:uid="{00000000-0002-0000-0100-000002000000}">
      <formula1>"34,40,48,60,80,120,240"</formula1>
    </dataValidation>
    <dataValidation type="list" allowBlank="1" showInputMessage="1" showErrorMessage="1" sqref="C21 C11" xr:uid="{00000000-0002-0000-0100-000003000000}">
      <formula1>"1,2"</formula1>
    </dataValidation>
    <dataValidation type="list" allowBlank="1" showInputMessage="1" showErrorMessage="1" sqref="C20" xr:uid="{00000000-0002-0000-0100-000004000000}">
      <formula1>"2,4,8,16,32"</formula1>
    </dataValidation>
    <dataValidation type="list" allowBlank="1" showInputMessage="1" showErrorMessage="1" sqref="C19" xr:uid="{00000000-0002-0000-0100-000005000000}">
      <formula1>"16,32,64"</formula1>
    </dataValidation>
    <dataValidation type="list" allowBlank="1" showInputMessage="1" showErrorMessage="1" sqref="C5" xr:uid="{00000000-0002-0000-0100-000006000000}">
      <formula1>"DDR3-800,DDR3-1066,DDR3-1333,DDR3-1600"</formula1>
    </dataValidation>
    <dataValidation type="list" allowBlank="1" showInputMessage="1" showErrorMessage="1" sqref="C6" xr:uid="{00000000-0002-0000-0100-000007000000}">
      <formula1>"1,2,4,8"</formula1>
    </dataValidation>
    <dataValidation type="list" allowBlank="1" showInputMessage="1" showErrorMessage="1" sqref="C7" xr:uid="{00000000-0002-0000-0100-000008000000}">
      <formula1>"4,8,16"</formula1>
    </dataValidation>
    <dataValidation type="list" allowBlank="1" showInputMessage="1" showErrorMessage="1" sqref="C13" xr:uid="{00000000-0002-0000-0100-000009000000}">
      <formula1>"3,4,5,6,7,8,9,10,11"</formula1>
    </dataValidation>
    <dataValidation type="list" allowBlank="1" showInputMessage="1" showErrorMessage="1" sqref="C9" xr:uid="{00000000-0002-0000-0100-00000A000000}">
      <formula1>"11,12,13,14,15,16"</formula1>
    </dataValidation>
    <dataValidation type="list" allowBlank="1" showInputMessage="1" showErrorMessage="1" sqref="C10" xr:uid="{00000000-0002-0000-0100-00000B000000}">
      <formula1>"9,10,11,12"</formula1>
    </dataValidation>
    <dataValidation type="list" allowBlank="1" showInputMessage="1" showErrorMessage="1" sqref="C18" xr:uid="{00000000-0002-0000-0100-00000C000000}">
      <formula1>"i.Mx6Q,i.Mx6D,i.Mx6DL,i.Mx6S"</formula1>
    </dataValidation>
    <dataValidation type="list" allowBlank="1" showInputMessage="1" showErrorMessage="1" sqref="C12" xr:uid="{00000000-0002-0000-0100-00000D000000}">
      <formula1>"Normal,Extended"</formula1>
    </dataValidation>
    <dataValidation type="list" allowBlank="1" showInputMessage="1" showErrorMessage="1" sqref="C31" xr:uid="{00000000-0002-0000-0100-00000E000000}">
      <formula1>"17,20,24,30,40,60,120,Disable"</formula1>
    </dataValidation>
  </dataValidations>
  <pageMargins left="0.7" right="0.7" top="0.75" bottom="0.75" header="0.3" footer="0.3"/>
  <pageSetup paperSize="9" orientation="portrait" r:id="rId1"/>
  <ignoredErrors>
    <ignoredError sqref="F31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37"/>
  <sheetViews>
    <sheetView topLeftCell="A79" workbookViewId="0">
      <selection activeCell="D98" sqref="D98"/>
    </sheetView>
  </sheetViews>
  <sheetFormatPr defaultColWidth="9.109375" defaultRowHeight="14.4"/>
  <cols>
    <col min="1" max="1" width="23.88671875" style="55" customWidth="1"/>
    <col min="2" max="2" width="16.6640625" style="55" bestFit="1" customWidth="1"/>
    <col min="3" max="3" width="12.44140625" style="55" bestFit="1" customWidth="1"/>
    <col min="4" max="4" width="118" style="55" customWidth="1"/>
    <col min="5" max="16384" width="9.109375" style="55"/>
  </cols>
  <sheetData>
    <row r="1" spans="1:3">
      <c r="A1" s="55" t="s">
        <v>366</v>
      </c>
    </row>
    <row r="2" spans="1:3">
      <c r="A2" s="56" t="str">
        <f>"//init script for "&amp;'Register Configuration'!$C$18&amp;" DDR3"</f>
        <v>//init script for i.Mx6Q DDR3</v>
      </c>
    </row>
    <row r="3" spans="1:3">
      <c r="A3" s="55" t="s">
        <v>366</v>
      </c>
    </row>
    <row r="4" spans="1:3">
      <c r="A4" s="55" t="s">
        <v>367</v>
      </c>
    </row>
    <row r="5" spans="1:3">
      <c r="A5" s="56" t="s">
        <v>368</v>
      </c>
    </row>
    <row r="6" spans="1:3">
      <c r="A6" s="56" t="s">
        <v>366</v>
      </c>
    </row>
    <row r="8" spans="1:3">
      <c r="A8" s="55" t="s">
        <v>369</v>
      </c>
    </row>
    <row r="9" spans="1:3">
      <c r="A9" s="55" t="s">
        <v>366</v>
      </c>
    </row>
    <row r="10" spans="1:3">
      <c r="A10" s="55" t="s">
        <v>370</v>
      </c>
      <c r="B10" s="55" t="s">
        <v>371</v>
      </c>
    </row>
    <row r="11" spans="1:3">
      <c r="A11" s="55" t="s">
        <v>366</v>
      </c>
    </row>
    <row r="12" spans="1:3">
      <c r="A12" s="55" t="s">
        <v>372</v>
      </c>
      <c r="B12" s="56" t="s">
        <v>373</v>
      </c>
      <c r="C12" s="55" t="s">
        <v>374</v>
      </c>
    </row>
    <row r="14" spans="1:3">
      <c r="A14" s="55" t="s">
        <v>366</v>
      </c>
    </row>
    <row r="15" spans="1:3">
      <c r="A15" s="55" t="s">
        <v>375</v>
      </c>
    </row>
    <row r="16" spans="1:3">
      <c r="A16" s="55" t="s">
        <v>366</v>
      </c>
    </row>
    <row r="17" spans="1:4">
      <c r="A17" s="55" t="s">
        <v>376</v>
      </c>
      <c r="B17" s="55" t="s">
        <v>377</v>
      </c>
      <c r="C17" s="55" t="s">
        <v>378</v>
      </c>
    </row>
    <row r="18" spans="1:4">
      <c r="A18" s="55" t="s">
        <v>376</v>
      </c>
      <c r="B18" s="55" t="s">
        <v>379</v>
      </c>
      <c r="C18" s="55" t="s">
        <v>378</v>
      </c>
    </row>
    <row r="19" spans="1:4">
      <c r="A19" s="55" t="s">
        <v>376</v>
      </c>
      <c r="B19" s="55" t="s">
        <v>380</v>
      </c>
      <c r="C19" s="55" t="s">
        <v>378</v>
      </c>
    </row>
    <row r="20" spans="1:4">
      <c r="A20" s="55" t="s">
        <v>376</v>
      </c>
      <c r="B20" s="55" t="s">
        <v>381</v>
      </c>
      <c r="C20" s="55" t="s">
        <v>378</v>
      </c>
    </row>
    <row r="21" spans="1:4">
      <c r="A21" s="55" t="s">
        <v>376</v>
      </c>
      <c r="B21" s="55" t="s">
        <v>382</v>
      </c>
      <c r="C21" s="55" t="s">
        <v>378</v>
      </c>
    </row>
    <row r="22" spans="1:4">
      <c r="A22" s="55" t="s">
        <v>376</v>
      </c>
      <c r="B22" s="55" t="s">
        <v>383</v>
      </c>
      <c r="C22" s="55" t="s">
        <v>378</v>
      </c>
    </row>
    <row r="23" spans="1:4">
      <c r="A23" s="55" t="s">
        <v>376</v>
      </c>
      <c r="B23" s="55" t="s">
        <v>384</v>
      </c>
      <c r="C23" s="55" t="s">
        <v>378</v>
      </c>
    </row>
    <row r="26" spans="1:4">
      <c r="A26" s="55" t="s">
        <v>366</v>
      </c>
    </row>
    <row r="27" spans="1:4">
      <c r="A27" s="55" t="s">
        <v>385</v>
      </c>
    </row>
    <row r="28" spans="1:4">
      <c r="A28" s="55" t="s">
        <v>366</v>
      </c>
    </row>
    <row r="29" spans="1:4">
      <c r="A29" s="55" t="s">
        <v>386</v>
      </c>
    </row>
    <row r="30" spans="1:4">
      <c r="A30" s="55" t="s">
        <v>376</v>
      </c>
      <c r="B30" s="10" t="str">
        <f>IF('Register Configuration'!$D$18="Arik","0x020e0798 =","0x020e0774 =")</f>
        <v>0x020e0798 =</v>
      </c>
      <c r="C30" s="57" t="str">
        <f>"0x"&amp;'Register Configuration'!$C$36</f>
        <v>0x000C0000</v>
      </c>
      <c r="D30" s="56" t="s">
        <v>415</v>
      </c>
    </row>
    <row r="31" spans="1:4">
      <c r="A31" s="55" t="s">
        <v>376</v>
      </c>
      <c r="B31" s="55" t="str">
        <f>IF('Register Configuration'!$D$18="Arik","0x020e0758 =","0x020e0754 =")</f>
        <v>0x020e0758 =</v>
      </c>
      <c r="C31" s="57" t="str">
        <f>"0x"&amp;'Register Configuration'!$C$41</f>
        <v>0x00000000</v>
      </c>
      <c r="D31" s="56" t="s">
        <v>388</v>
      </c>
    </row>
    <row r="33" spans="1:4">
      <c r="A33" s="55" t="s">
        <v>389</v>
      </c>
    </row>
    <row r="34" spans="1:4">
      <c r="A34" s="55" t="s">
        <v>376</v>
      </c>
      <c r="B34" s="55" t="str">
        <f>IF('Register Configuration'!$D$18="Arik","0x020e0588 =","0x020e04ac =")</f>
        <v>0x020e0588 =</v>
      </c>
      <c r="C34" s="57" t="str">
        <f>"0x"&amp;'Register Configuration'!$C$46</f>
        <v>0x00000028</v>
      </c>
      <c r="D34" s="56" t="s">
        <v>390</v>
      </c>
    </row>
    <row r="35" spans="1:4">
      <c r="A35" s="55" t="s">
        <v>376</v>
      </c>
      <c r="B35" s="55" t="str">
        <f>IF('Register Configuration'!$D$18="Arik","0x020e0594 =","0x020e04b0 =")</f>
        <v>0x020e0594 =</v>
      </c>
      <c r="C35" s="57" t="str">
        <f>"0x"&amp;'Register Configuration'!$C$51</f>
        <v>0x00000028</v>
      </c>
      <c r="D35" s="55" t="s">
        <v>391</v>
      </c>
    </row>
    <row r="37" spans="1:4">
      <c r="A37" s="55" t="s">
        <v>516</v>
      </c>
    </row>
    <row r="38" spans="1:4">
      <c r="A38" s="55" t="s">
        <v>376</v>
      </c>
      <c r="B38" s="10" t="str">
        <f>IF('Register Configuration'!$D$18="Arik","0x020e056c =","0x020e0464 =")</f>
        <v>0x020e056c =</v>
      </c>
      <c r="C38" s="57" t="str">
        <f>"0x"&amp;'Register Configuration'!$C$56</f>
        <v>0x00000028</v>
      </c>
      <c r="D38" s="55" t="s">
        <v>393</v>
      </c>
    </row>
    <row r="39" spans="1:4">
      <c r="A39" s="55" t="s">
        <v>376</v>
      </c>
      <c r="B39" s="10" t="str">
        <f>IF('Register Configuration'!$D$18="Arik","0x020e0578 =","0x020e0490 =")</f>
        <v>0x020e0578 =</v>
      </c>
      <c r="C39" s="57" t="str">
        <f>"0x"&amp;'Register Configuration'!$C$61</f>
        <v>0x00000028</v>
      </c>
      <c r="D39" s="55" t="s">
        <v>394</v>
      </c>
    </row>
    <row r="40" spans="1:4">
      <c r="A40" s="55" t="s">
        <v>376</v>
      </c>
      <c r="B40" s="10" t="s">
        <v>400</v>
      </c>
      <c r="C40" s="57" t="str">
        <f>"0x"&amp;'Register Configuration'!$C$66</f>
        <v>0x00000028</v>
      </c>
      <c r="D40" s="55" t="s">
        <v>401</v>
      </c>
    </row>
    <row r="42" spans="1:4">
      <c r="A42" s="55" t="s">
        <v>392</v>
      </c>
    </row>
    <row r="43" spans="1:4">
      <c r="A43" s="55" t="s">
        <v>376</v>
      </c>
      <c r="B43" s="55" t="str">
        <f>IF('Register Configuration'!$D$18="Arik","0x020e057c =","0x020e0494 =")</f>
        <v>0x020e057c =</v>
      </c>
      <c r="C43" s="57" t="str">
        <f>"0x"&amp;'Register Configuration'!$C$71</f>
        <v>0x00000028</v>
      </c>
      <c r="D43" s="56" t="s">
        <v>395</v>
      </c>
    </row>
    <row r="44" spans="1:4">
      <c r="A44" s="55" t="s">
        <v>376</v>
      </c>
      <c r="B44" s="55" t="str">
        <f>IF('Register Configuration'!$D$18="Arik","0x020e058c =","0x020e04a0 =")</f>
        <v>0x020e058c =</v>
      </c>
      <c r="C44" s="57" t="str">
        <f>"0x"&amp;'Register Configuration'!$C$76</f>
        <v>0x00000000</v>
      </c>
      <c r="D44" s="56" t="s">
        <v>397</v>
      </c>
    </row>
    <row r="45" spans="1:4">
      <c r="A45" s="55" t="s">
        <v>376</v>
      </c>
      <c r="B45" s="55" t="str">
        <f>IF('Register Configuration'!$D$18="Arik","0x020e059c =","0x020e04b4 =")</f>
        <v>0x020e059c =</v>
      </c>
      <c r="C45" s="57" t="str">
        <f>"0x"&amp;'Register Configuration'!$C$81</f>
        <v>0x00000028</v>
      </c>
      <c r="D45" s="55" t="s">
        <v>398</v>
      </c>
    </row>
    <row r="46" spans="1:4">
      <c r="A46" s="55" t="s">
        <v>376</v>
      </c>
      <c r="B46" s="55" t="str">
        <f>IF('Register Configuration'!$D$18="Arik","0x020e05a0 =","0x020e04b8 =")</f>
        <v>0x020e05a0 =</v>
      </c>
      <c r="C46" s="57" t="str">
        <f>"0x"&amp;'Register Configuration'!$C$86</f>
        <v>0x00000028</v>
      </c>
      <c r="D46" s="55" t="s">
        <v>399</v>
      </c>
    </row>
    <row r="47" spans="1:4">
      <c r="A47" s="55" t="s">
        <v>376</v>
      </c>
      <c r="B47" s="55" t="str">
        <f>IF('Register Configuration'!$D$18="Arik","0x020e078c =","0x020e076c =")</f>
        <v>0x020e078c =</v>
      </c>
      <c r="C47" s="57" t="str">
        <f>"0x"&amp;'Register Configuration'!$C$91</f>
        <v>0x00000028</v>
      </c>
      <c r="D47" s="55" t="s">
        <v>402</v>
      </c>
    </row>
    <row r="49" spans="1:4">
      <c r="A49" s="55" t="s">
        <v>403</v>
      </c>
    </row>
    <row r="50" spans="1:4">
      <c r="A50" s="55" t="s">
        <v>376</v>
      </c>
      <c r="B50" s="55" t="s">
        <v>404</v>
      </c>
      <c r="C50" s="57" t="str">
        <f>"0x"&amp;'Register Configuration'!$C$96</f>
        <v>0x00020000</v>
      </c>
      <c r="D50" s="56" t="s">
        <v>405</v>
      </c>
    </row>
    <row r="51" spans="1:4">
      <c r="A51" s="55" t="s">
        <v>376</v>
      </c>
      <c r="B51" s="55" t="str">
        <f>IF('Register Configuration'!$D$18="Arik","0x020e05a8 =","0x020e04bc =")</f>
        <v>0x020e05a8 =</v>
      </c>
      <c r="C51" s="57" t="str">
        <f>"0x"&amp;'Register Configuration'!$C$101</f>
        <v>0x00000028</v>
      </c>
      <c r="D51" s="56" t="s">
        <v>406</v>
      </c>
    </row>
    <row r="52" spans="1:4">
      <c r="A52" s="55" t="s">
        <v>376</v>
      </c>
      <c r="B52" s="55" t="str">
        <f>IF('Register Configuration'!$D$18="Arik","0x020e05b0 =","0x020e04c0 =")</f>
        <v>0x020e05b0 =</v>
      </c>
      <c r="C52" s="57" t="str">
        <f>"0x"&amp;'Register Configuration'!$C$106</f>
        <v>0x00000028</v>
      </c>
      <c r="D52" s="55" t="s">
        <v>407</v>
      </c>
    </row>
    <row r="53" spans="1:4">
      <c r="A53" s="55" t="str">
        <f>IF('Register Configuration'!$C$19=16,"//","")&amp;"setmem /32"</f>
        <v>setmem /32</v>
      </c>
      <c r="B53" s="55" t="str">
        <f>IF('Register Configuration'!$D$18="Arik","0x020e0524 =","0x020e04c4 =")</f>
        <v>0x020e0524 =</v>
      </c>
      <c r="C53" s="57" t="str">
        <f>"0x"&amp;'Register Configuration'!$C$111</f>
        <v>0x00000028</v>
      </c>
      <c r="D53" s="55" t="s">
        <v>408</v>
      </c>
    </row>
    <row r="54" spans="1:4">
      <c r="A54" s="56" t="str">
        <f>IF('Register Configuration'!$C$19=16,"//","")&amp;"setmem /32"</f>
        <v>setmem /32</v>
      </c>
      <c r="B54" s="55" t="str">
        <f>IF('Register Configuration'!$D$18="Arik","0x020e051c =","0x020e04c8 =")</f>
        <v>0x020e051c =</v>
      </c>
      <c r="C54" s="57" t="str">
        <f>"0x"&amp;'Register Configuration'!$C$116</f>
        <v>0x00000028</v>
      </c>
      <c r="D54" s="55" t="s">
        <v>409</v>
      </c>
    </row>
    <row r="55" spans="1:4">
      <c r="A55" s="55" t="str">
        <f>IF(OR('Register Configuration'!$C$19=16,'Register Configuration'!$C$19=32),"//","")&amp;"setmem /32"</f>
        <v>setmem /32</v>
      </c>
      <c r="B55" s="55" t="str">
        <f>IF('Register Configuration'!$D$18="Arik","0x020e0518 =","0x020e04cc =")</f>
        <v>0x020e0518 =</v>
      </c>
      <c r="C55" s="57" t="str">
        <f>"0x"&amp;'Register Configuration'!$C$121</f>
        <v>0x00000028</v>
      </c>
      <c r="D55" s="55" t="s">
        <v>410</v>
      </c>
    </row>
    <row r="56" spans="1:4">
      <c r="A56" s="55" t="str">
        <f>IF(OR('Register Configuration'!$C$19=16,'Register Configuration'!$C$19=32),"//","")&amp;"setmem /32"</f>
        <v>setmem /32</v>
      </c>
      <c r="B56" s="55" t="str">
        <f>IF('Register Configuration'!$D$18="Arik","0x020e050c =","0x020e04d0 =")</f>
        <v>0x020e050c =</v>
      </c>
      <c r="C56" s="57" t="str">
        <f>"0x"&amp;'Register Configuration'!$C$126</f>
        <v>0x00000028</v>
      </c>
      <c r="D56" s="55" t="s">
        <v>411</v>
      </c>
    </row>
    <row r="57" spans="1:4">
      <c r="A57" s="55" t="str">
        <f>IF(OR('Register Configuration'!$C$19=16,'Register Configuration'!$C$19=32),"//","")&amp;"setmem /32"</f>
        <v>setmem /32</v>
      </c>
      <c r="B57" s="55" t="str">
        <f>IF('Register Configuration'!$D$18="Arik","0x020e05b8 =","0x020e04d4 =")</f>
        <v>0x020e05b8 =</v>
      </c>
      <c r="C57" s="57" t="str">
        <f>"0x"&amp;'Register Configuration'!$C$131</f>
        <v>0x00000028</v>
      </c>
      <c r="D57" s="55" t="s">
        <v>412</v>
      </c>
    </row>
    <row r="58" spans="1:4">
      <c r="A58" s="55" t="str">
        <f>IF(OR('Register Configuration'!$C$19=16,'Register Configuration'!$C$19=32),"//","")&amp;"setmem /32"</f>
        <v>setmem /32</v>
      </c>
      <c r="B58" s="55" t="str">
        <f>IF('Register Configuration'!$D$18="Arik","0x020e05c0 =","0x020e04d8 =")</f>
        <v>0x020e05c0 =</v>
      </c>
      <c r="C58" s="57" t="str">
        <f>"0x"&amp;'Register Configuration'!$C$136</f>
        <v>0x00000028</v>
      </c>
      <c r="D58" s="55" t="s">
        <v>413</v>
      </c>
    </row>
    <row r="60" spans="1:4">
      <c r="A60" s="55" t="s">
        <v>414</v>
      </c>
    </row>
    <row r="61" spans="1:4">
      <c r="A61" s="55" t="s">
        <v>376</v>
      </c>
      <c r="B61" s="55" t="str">
        <f>IF('Register Configuration'!$D$18="Arik","0x020e0774 =","0x020e0760 =")</f>
        <v>0x020e0774 =</v>
      </c>
      <c r="C61" s="57" t="str">
        <f>"0x"&amp;'Register Configuration'!$C$141</f>
        <v>0x00020000</v>
      </c>
      <c r="D61" s="56" t="s">
        <v>387</v>
      </c>
    </row>
    <row r="62" spans="1:4">
      <c r="A62" s="55" t="s">
        <v>376</v>
      </c>
      <c r="B62" s="55" t="str">
        <f>IF('Register Configuration'!$D$18="Arik","0x020e0784 =","0x020e0764 =")</f>
        <v>0x020e0784 =</v>
      </c>
      <c r="C62" s="57" t="str">
        <f>"0x"&amp;'Register Configuration'!$C$146</f>
        <v>0x00000028</v>
      </c>
      <c r="D62" s="55" t="s">
        <v>416</v>
      </c>
    </row>
    <row r="63" spans="1:4">
      <c r="A63" s="55" t="s">
        <v>376</v>
      </c>
      <c r="B63" s="55" t="str">
        <f>IF('Register Configuration'!$D$18="Arik","0x020e0788 =","0x020e0770 =")</f>
        <v>0x020e0788 =</v>
      </c>
      <c r="C63" s="57" t="str">
        <f>"0x"&amp;'Register Configuration'!$C$151</f>
        <v>0x00000028</v>
      </c>
      <c r="D63" s="55" t="s">
        <v>417</v>
      </c>
    </row>
    <row r="64" spans="1:4">
      <c r="A64" s="55" t="str">
        <f>IF('Register Configuration'!$C$19=16,"//","")&amp;"setmem /32"</f>
        <v>setmem /32</v>
      </c>
      <c r="B64" s="55" t="str">
        <f>IF('Register Configuration'!$D$18="Arik","0x020e0794 =","0x020e0778 =")</f>
        <v>0x020e0794 =</v>
      </c>
      <c r="C64" s="57" t="str">
        <f>"0x"&amp;'Register Configuration'!$C$156</f>
        <v>0x00000028</v>
      </c>
      <c r="D64" s="55" t="s">
        <v>418</v>
      </c>
    </row>
    <row r="65" spans="1:4">
      <c r="A65" s="56" t="str">
        <f>IF('Register Configuration'!$C$19=16,"//","")&amp;"setmem /32"</f>
        <v>setmem /32</v>
      </c>
      <c r="B65" s="55" t="str">
        <f>IF('Register Configuration'!$D$18="Arik","0x020e079c =","0x020e077c =")</f>
        <v>0x020e079c =</v>
      </c>
      <c r="C65" s="57" t="str">
        <f>"0x"&amp;'Register Configuration'!$C$161</f>
        <v>0x00000028</v>
      </c>
      <c r="D65" s="55" t="s">
        <v>419</v>
      </c>
    </row>
    <row r="66" spans="1:4">
      <c r="A66" s="55" t="str">
        <f>IF(OR('Register Configuration'!$C$19=16,'Register Configuration'!$C$19=32),"//","")&amp;"setmem /32"</f>
        <v>setmem /32</v>
      </c>
      <c r="B66" s="55" t="str">
        <f>IF('Register Configuration'!$D$18="Arik","0x020e07a0 =","0x020e0780 =")</f>
        <v>0x020e07a0 =</v>
      </c>
      <c r="C66" s="57" t="str">
        <f>"0x"&amp;'Register Configuration'!$C$166</f>
        <v>0x00000028</v>
      </c>
      <c r="D66" s="55" t="s">
        <v>420</v>
      </c>
    </row>
    <row r="67" spans="1:4">
      <c r="A67" s="55" t="str">
        <f>IF(OR('Register Configuration'!$C$19=16,'Register Configuration'!$C$19=32),"//","")&amp;"setmem /32"</f>
        <v>setmem /32</v>
      </c>
      <c r="B67" s="55" t="str">
        <f>IF('Register Configuration'!$D$18="Arik","0x020e07a4 =","0x020e0784 =")</f>
        <v>0x020e07a4 =</v>
      </c>
      <c r="C67" s="57" t="str">
        <f>"0x"&amp;'Register Configuration'!$C$171</f>
        <v>0x00000028</v>
      </c>
      <c r="D67" s="55" t="s">
        <v>421</v>
      </c>
    </row>
    <row r="68" spans="1:4">
      <c r="A68" s="55" t="str">
        <f>IF(OR('Register Configuration'!$C$19=16,'Register Configuration'!$C$19=32),"//","")&amp;"setmem /32"</f>
        <v>setmem /32</v>
      </c>
      <c r="B68" s="55" t="str">
        <f>IF('Register Configuration'!$D$18="Arik","0x020e07a8 =","0x020e078c =")</f>
        <v>0x020e07a8 =</v>
      </c>
      <c r="C68" s="57" t="str">
        <f>"0x"&amp;'Register Configuration'!$C$176</f>
        <v>0x00000028</v>
      </c>
      <c r="D68" s="55" t="s">
        <v>422</v>
      </c>
    </row>
    <row r="69" spans="1:4">
      <c r="A69" s="55" t="str">
        <f>IF(OR('Register Configuration'!$C$19=16,'Register Configuration'!$C$19=32),"//","")&amp;"setmem /32"</f>
        <v>setmem /32</v>
      </c>
      <c r="B69" s="55" t="s">
        <v>423</v>
      </c>
      <c r="C69" s="57" t="str">
        <f>"0x"&amp;'Register Configuration'!$C$181</f>
        <v>0x00000028</v>
      </c>
      <c r="D69" s="55" t="s">
        <v>424</v>
      </c>
    </row>
    <row r="71" spans="1:4">
      <c r="A71" s="55" t="s">
        <v>376</v>
      </c>
      <c r="B71" s="55" t="str">
        <f>IF('Register Configuration'!$D$18="Arik","0x020e05ac =","0x020e0470 =")</f>
        <v>0x020e05ac =</v>
      </c>
      <c r="C71" s="57" t="str">
        <f>"0x"&amp;'Register Configuration'!$C$186</f>
        <v>0x00000028</v>
      </c>
      <c r="D71" s="56" t="s">
        <v>425</v>
      </c>
    </row>
    <row r="72" spans="1:4">
      <c r="A72" s="55" t="s">
        <v>376</v>
      </c>
      <c r="B72" s="55" t="str">
        <f>IF('Register Configuration'!$D$18="Arik","0x020e05b4 =","0x020e0474 =")</f>
        <v>0x020e05b4 =</v>
      </c>
      <c r="C72" s="57" t="str">
        <f>"0x"&amp;'Register Configuration'!$C$191</f>
        <v>0x00000028</v>
      </c>
      <c r="D72" s="55" t="s">
        <v>426</v>
      </c>
    </row>
    <row r="73" spans="1:4">
      <c r="A73" s="55" t="str">
        <f>IF('Register Configuration'!$C$19=16,"//","")&amp;"setmem /32"</f>
        <v>setmem /32</v>
      </c>
      <c r="B73" s="55" t="str">
        <f>IF('Register Configuration'!$D$18="Arik","0x020e0528 =","0x020e0478 =")</f>
        <v>0x020e0528 =</v>
      </c>
      <c r="C73" s="57" t="str">
        <f>"0x"&amp;'Register Configuration'!$C$196</f>
        <v>0x00000028</v>
      </c>
      <c r="D73" s="55" t="s">
        <v>427</v>
      </c>
    </row>
    <row r="74" spans="1:4">
      <c r="A74" s="56" t="str">
        <f>IF('Register Configuration'!$C$19=16,"//","")&amp;"setmem /32"</f>
        <v>setmem /32</v>
      </c>
      <c r="B74" s="55" t="str">
        <f>IF('Register Configuration'!$D$18="Arik","0x020e0520 =","0x020e047c =")</f>
        <v>0x020e0520 =</v>
      </c>
      <c r="C74" s="57" t="str">
        <f>"0x"&amp;'Register Configuration'!$C$201</f>
        <v>0x00000028</v>
      </c>
      <c r="D74" s="55" t="s">
        <v>428</v>
      </c>
    </row>
    <row r="75" spans="1:4">
      <c r="A75" s="55" t="str">
        <f>IF(OR('Register Configuration'!$C$19=16,'Register Configuration'!$C$19=32),"//","")&amp;"setmem /32"</f>
        <v>setmem /32</v>
      </c>
      <c r="B75" s="55" t="str">
        <f>IF('Register Configuration'!$D$18="Arik","0x020e0514 =","0x020e0480 =")</f>
        <v>0x020e0514 =</v>
      </c>
      <c r="C75" s="57" t="str">
        <f>"0x"&amp;'Register Configuration'!$C$206</f>
        <v>0x00000028</v>
      </c>
      <c r="D75" s="55" t="s">
        <v>429</v>
      </c>
    </row>
    <row r="76" spans="1:4">
      <c r="A76" s="55" t="str">
        <f>IF(OR('Register Configuration'!$C$19=16,'Register Configuration'!$C$19=32),"//","")&amp;"setmem /32"</f>
        <v>setmem /32</v>
      </c>
      <c r="B76" s="55" t="str">
        <f>IF('Register Configuration'!$D$18="Arik","0x020e0510 =","0x020e0484 =")</f>
        <v>0x020e0510 =</v>
      </c>
      <c r="C76" s="57" t="str">
        <f>"0x"&amp;'Register Configuration'!$C$211</f>
        <v>0x00000028</v>
      </c>
      <c r="D76" s="55" t="s">
        <v>430</v>
      </c>
    </row>
    <row r="77" spans="1:4">
      <c r="A77" s="55" t="str">
        <f>IF(OR('Register Configuration'!$C$19=16,'Register Configuration'!$C$19=32),"//","")&amp;"setmem /32"</f>
        <v>setmem /32</v>
      </c>
      <c r="B77" s="55" t="str">
        <f>IF('Register Configuration'!$D$18="Arik","0x020e05bc =","0x020e0488 =")</f>
        <v>0x020e05bc =</v>
      </c>
      <c r="C77" s="57" t="str">
        <f>"0x"&amp;'Register Configuration'!$C$216</f>
        <v>0x00000028</v>
      </c>
      <c r="D77" s="55" t="s">
        <v>431</v>
      </c>
    </row>
    <row r="78" spans="1:4">
      <c r="A78" s="55" t="str">
        <f>IF(OR('Register Configuration'!$C$19=16,'Register Configuration'!$C$19=32),"//","")&amp;"setmem /32"</f>
        <v>setmem /32</v>
      </c>
      <c r="B78" s="55" t="str">
        <f>IF('Register Configuration'!$D$18="Arik","0x020e05c4 =","0x020e048c =")</f>
        <v>0x020e05c4 =</v>
      </c>
      <c r="C78" s="57" t="str">
        <f>"0x"&amp;'Register Configuration'!$C$221</f>
        <v>0x00000028</v>
      </c>
      <c r="D78" s="55" t="s">
        <v>432</v>
      </c>
    </row>
    <row r="81" spans="1:4">
      <c r="A81" s="55" t="s">
        <v>366</v>
      </c>
    </row>
    <row r="82" spans="1:4">
      <c r="A82" s="55" t="s">
        <v>433</v>
      </c>
    </row>
    <row r="83" spans="1:4">
      <c r="A83" s="55" t="s">
        <v>366</v>
      </c>
    </row>
    <row r="84" spans="1:4">
      <c r="A84" s="56" t="s">
        <v>434</v>
      </c>
      <c r="B84" s="58" t="str">
        <f>'Register Configuration'!C3</f>
        <v>Micron</v>
      </c>
      <c r="C84" s="59"/>
      <c r="D84" s="59"/>
    </row>
    <row r="85" spans="1:4">
      <c r="A85" s="56" t="s">
        <v>435</v>
      </c>
      <c r="B85" s="60" t="str">
        <f>'Register Configuration'!C4</f>
        <v>MT41K512M16HA-107</v>
      </c>
      <c r="C85" s="61"/>
      <c r="D85" s="59"/>
    </row>
    <row r="86" spans="1:4">
      <c r="A86" s="56" t="s">
        <v>436</v>
      </c>
      <c r="B86" s="57" t="str">
        <f>'Register Configuration'!C23&amp;"MHz"</f>
        <v>528MHz</v>
      </c>
      <c r="C86" s="59"/>
      <c r="D86" s="59"/>
    </row>
    <row r="87" spans="1:4">
      <c r="A87" s="56" t="s">
        <v>437</v>
      </c>
      <c r="B87" s="62">
        <f>'Register Configuration'!C20</f>
        <v>32</v>
      </c>
    </row>
    <row r="88" spans="1:4">
      <c r="A88" s="56" t="s">
        <v>438</v>
      </c>
      <c r="B88" s="62">
        <f>'Register Configuration'!C21</f>
        <v>1</v>
      </c>
      <c r="C88" s="59"/>
      <c r="D88" s="59"/>
    </row>
    <row r="89" spans="1:4">
      <c r="A89" s="56" t="s">
        <v>439</v>
      </c>
      <c r="B89" s="62">
        <f>'Register Configuration'!C8</f>
        <v>8</v>
      </c>
    </row>
    <row r="90" spans="1:4">
      <c r="A90" s="55" t="s">
        <v>440</v>
      </c>
      <c r="B90" s="62">
        <f>'Register Configuration'!C9</f>
        <v>16</v>
      </c>
    </row>
    <row r="91" spans="1:4">
      <c r="A91" s="55" t="s">
        <v>441</v>
      </c>
      <c r="B91" s="62">
        <f>'Register Configuration'!C10</f>
        <v>10</v>
      </c>
    </row>
    <row r="92" spans="1:4">
      <c r="A92" s="56" t="s">
        <v>442</v>
      </c>
      <c r="B92" s="62">
        <f>'Register Configuration'!C19</f>
        <v>64</v>
      </c>
    </row>
    <row r="93" spans="1:4">
      <c r="A93" s="55" t="s">
        <v>366</v>
      </c>
    </row>
    <row r="94" spans="1:4">
      <c r="A94" s="55" t="s">
        <v>376</v>
      </c>
      <c r="B94" s="55" t="s">
        <v>443</v>
      </c>
      <c r="C94" s="57" t="str">
        <f>"0x"&amp;'Register Configuration'!$C$333</f>
        <v>0x00008000</v>
      </c>
      <c r="D94" s="56" t="s">
        <v>533</v>
      </c>
    </row>
    <row r="95" spans="1:4">
      <c r="B95" s="10"/>
      <c r="D95" s="56"/>
    </row>
    <row r="96" spans="1:4">
      <c r="A96" s="55" t="s">
        <v>366</v>
      </c>
    </row>
    <row r="97" spans="1:4">
      <c r="A97" s="55" t="s">
        <v>444</v>
      </c>
    </row>
    <row r="98" spans="1:4">
      <c r="A98" s="55" t="s">
        <v>366</v>
      </c>
    </row>
    <row r="99" spans="1:4">
      <c r="A99" s="55" t="s">
        <v>376</v>
      </c>
      <c r="B99" s="55" t="s">
        <v>445</v>
      </c>
      <c r="C99" s="57" t="str">
        <f>"0x"&amp;'Register Configuration'!$C$226</f>
        <v>0xA1390003</v>
      </c>
      <c r="D99" s="55" t="s">
        <v>517</v>
      </c>
    </row>
    <row r="101" spans="1:4">
      <c r="A101" s="55" t="s">
        <v>518</v>
      </c>
    </row>
    <row r="102" spans="1:4">
      <c r="A102" s="55" t="s">
        <v>376</v>
      </c>
      <c r="B102" s="55" t="s">
        <v>519</v>
      </c>
      <c r="C102" s="65" t="str">
        <f>"0x"&amp;'Register Configuration'!$C$231</f>
        <v>0x00000000</v>
      </c>
    </row>
    <row r="103" spans="1:4">
      <c r="A103" s="56" t="str">
        <f>IF('Register Configuration'!$C$19=16,"//","")&amp;"setmem /32"</f>
        <v>setmem /32</v>
      </c>
      <c r="B103" s="55" t="s">
        <v>520</v>
      </c>
      <c r="C103" s="65" t="str">
        <f>"0x"&amp;'Register Configuration'!$C$237</f>
        <v>0x00000000</v>
      </c>
      <c r="D103" s="56"/>
    </row>
    <row r="104" spans="1:4">
      <c r="A104" s="55" t="str">
        <f>IF(OR('Register Configuration'!$C$19=16,'Register Configuration'!$C$19=32),"//","")&amp;"setmem /32"</f>
        <v>setmem /32</v>
      </c>
      <c r="B104" s="55" t="s">
        <v>521</v>
      </c>
      <c r="C104" s="65" t="str">
        <f>"0x"&amp;'Register Configuration'!$C$232</f>
        <v>0x00000000</v>
      </c>
      <c r="D104" s="56"/>
    </row>
    <row r="105" spans="1:4">
      <c r="A105" s="55" t="str">
        <f>IF(OR('Register Configuration'!$C$19=16,'Register Configuration'!$C$19=32),"//","")&amp;"setmem /32"</f>
        <v>setmem /32</v>
      </c>
      <c r="B105" s="55" t="s">
        <v>522</v>
      </c>
      <c r="C105" s="65" t="str">
        <f>"0x"&amp;'Register Configuration'!$C$238</f>
        <v>0x00000000</v>
      </c>
    </row>
    <row r="106" spans="1:4">
      <c r="C106" s="59"/>
    </row>
    <row r="107" spans="1:4">
      <c r="A107" s="55" t="s">
        <v>523</v>
      </c>
    </row>
    <row r="108" spans="1:4">
      <c r="A108" s="55" t="s">
        <v>376</v>
      </c>
      <c r="B108" s="55" t="s">
        <v>472</v>
      </c>
      <c r="C108" s="65" t="str">
        <f>"0x"&amp;'Register Configuration'!$C$243</f>
        <v>0x00000000</v>
      </c>
      <c r="D108" s="55" t="s">
        <v>524</v>
      </c>
    </row>
    <row r="109" spans="1:4">
      <c r="A109" s="56" t="str">
        <f>IF('Register Configuration'!$C$19=16,"//","")&amp;"setmem /32"</f>
        <v>setmem /32</v>
      </c>
      <c r="B109" s="55" t="s">
        <v>473</v>
      </c>
      <c r="C109" s="65" t="str">
        <f>"0x"&amp;'Register Configuration'!$C$249</f>
        <v>0x00000000</v>
      </c>
      <c r="D109" s="55" t="s">
        <v>525</v>
      </c>
    </row>
    <row r="110" spans="1:4">
      <c r="A110" s="55" t="str">
        <f>IF(OR('Register Configuration'!$C$19=16,'Register Configuration'!$C$19=32),"//","")&amp;"setmem /32"</f>
        <v>setmem /32</v>
      </c>
      <c r="B110" s="55" t="s">
        <v>474</v>
      </c>
      <c r="C110" s="65" t="str">
        <f>"0x"&amp;'Register Configuration'!$C$244</f>
        <v>0x00000000</v>
      </c>
      <c r="D110" s="55" t="s">
        <v>526</v>
      </c>
    </row>
    <row r="111" spans="1:4">
      <c r="A111" s="55" t="str">
        <f>IF(OR('Register Configuration'!$C$19=16,'Register Configuration'!$C$19=32),"//","")&amp;"setmem /32"</f>
        <v>setmem /32</v>
      </c>
      <c r="B111" s="55" t="s">
        <v>475</v>
      </c>
      <c r="C111" s="65" t="str">
        <f>"0x"&amp;'Register Configuration'!$C$250</f>
        <v>0x00000000</v>
      </c>
      <c r="D111" s="55" t="s">
        <v>527</v>
      </c>
    </row>
    <row r="112" spans="1:4">
      <c r="C112" s="59"/>
    </row>
    <row r="113" spans="1:4">
      <c r="A113" s="55" t="s">
        <v>528</v>
      </c>
      <c r="C113" s="59"/>
    </row>
    <row r="114" spans="1:4">
      <c r="A114" s="55" t="s">
        <v>376</v>
      </c>
      <c r="B114" s="55" t="s">
        <v>464</v>
      </c>
      <c r="C114" s="65" t="str">
        <f>"0x"&amp;'Register Configuration'!$C$255</f>
        <v>0x40404040</v>
      </c>
      <c r="D114" s="63" t="s">
        <v>465</v>
      </c>
    </row>
    <row r="115" spans="1:4">
      <c r="A115" s="55" t="str">
        <f>IF(OR('Register Configuration'!$C$19=16,'Register Configuration'!$C$19=32),"//","")&amp;"setmem /32"</f>
        <v>setmem /32</v>
      </c>
      <c r="B115" s="55" t="s">
        <v>466</v>
      </c>
      <c r="C115" s="65" t="str">
        <f>"0x"&amp;'Register Configuration'!$C$256</f>
        <v>0x40404040</v>
      </c>
      <c r="D115" s="56" t="s">
        <v>467</v>
      </c>
    </row>
    <row r="116" spans="1:4">
      <c r="C116" s="59"/>
    </row>
    <row r="117" spans="1:4">
      <c r="A117" s="55" t="s">
        <v>529</v>
      </c>
      <c r="C117" s="59"/>
    </row>
    <row r="118" spans="1:4">
      <c r="A118" s="55" t="s">
        <v>376</v>
      </c>
      <c r="B118" s="55" t="s">
        <v>468</v>
      </c>
      <c r="C118" s="65" t="str">
        <f>"0x"&amp;'Register Configuration'!$C$261</f>
        <v>0x40404040</v>
      </c>
      <c r="D118" s="56" t="s">
        <v>469</v>
      </c>
    </row>
    <row r="119" spans="1:4">
      <c r="A119" s="55" t="str">
        <f>IF(OR('Register Configuration'!$C$19=16,'Register Configuration'!$C$19=32),"//","")&amp;"setmem /32"</f>
        <v>setmem /32</v>
      </c>
      <c r="B119" s="55" t="s">
        <v>470</v>
      </c>
      <c r="C119" s="65" t="str">
        <f>"0x"&amp;'Register Configuration'!$C$262</f>
        <v>0x40404040</v>
      </c>
      <c r="D119" s="56" t="s">
        <v>471</v>
      </c>
    </row>
    <row r="120" spans="1:4">
      <c r="C120" s="59"/>
    </row>
    <row r="121" spans="1:4">
      <c r="A121" s="55" t="s">
        <v>530</v>
      </c>
    </row>
    <row r="122" spans="1:4">
      <c r="A122" s="55" t="s">
        <v>376</v>
      </c>
      <c r="B122" s="55" t="s">
        <v>448</v>
      </c>
      <c r="C122" s="57" t="str">
        <f>"0x"&amp;'Register Configuration'!$C$267</f>
        <v>0x33333333</v>
      </c>
      <c r="D122" s="55" t="s">
        <v>449</v>
      </c>
    </row>
    <row r="123" spans="1:4">
      <c r="A123" s="55" t="s">
        <v>376</v>
      </c>
      <c r="B123" s="55" t="s">
        <v>450</v>
      </c>
      <c r="C123" s="57" t="str">
        <f>"0x"&amp;'Register Configuration'!$C$273</f>
        <v>0x33333333</v>
      </c>
      <c r="D123" s="56" t="s">
        <v>451</v>
      </c>
    </row>
    <row r="124" spans="1:4">
      <c r="A124" s="55" t="str">
        <f>IF('Register Configuration'!$C$19=16,"//","")&amp;"setmem /32"</f>
        <v>setmem /32</v>
      </c>
      <c r="B124" s="55" t="s">
        <v>452</v>
      </c>
      <c r="C124" s="57" t="str">
        <f>"0x"&amp;'Register Configuration'!$C$279</f>
        <v>0x33333333</v>
      </c>
      <c r="D124" s="56" t="s">
        <v>453</v>
      </c>
    </row>
    <row r="125" spans="1:4">
      <c r="A125" s="56" t="str">
        <f>IF('Register Configuration'!$C$19=16,"//","")&amp;"setmem /32"</f>
        <v>setmem /32</v>
      </c>
      <c r="B125" s="55" t="s">
        <v>454</v>
      </c>
      <c r="C125" s="57" t="str">
        <f>"0x"&amp;'Register Configuration'!$C$285</f>
        <v>0x33333333</v>
      </c>
      <c r="D125" s="55" t="s">
        <v>455</v>
      </c>
    </row>
    <row r="126" spans="1:4">
      <c r="A126" s="55" t="str">
        <f>IF(OR('Register Configuration'!$C$19=16,'Register Configuration'!$C$19=32),"//","")&amp;"setmem /32"</f>
        <v>setmem /32</v>
      </c>
      <c r="B126" s="55" t="s">
        <v>456</v>
      </c>
      <c r="C126" s="57" t="str">
        <f>"0x"&amp;'Register Configuration'!$C$268</f>
        <v>0x33333333</v>
      </c>
      <c r="D126" s="55" t="s">
        <v>457</v>
      </c>
    </row>
    <row r="127" spans="1:4">
      <c r="A127" s="55" t="str">
        <f>IF(OR('Register Configuration'!$C$19=16,'Register Configuration'!$C$19=32),"//","")&amp;"setmem /32"</f>
        <v>setmem /32</v>
      </c>
      <c r="B127" s="55" t="s">
        <v>458</v>
      </c>
      <c r="C127" s="57" t="str">
        <f>"0x"&amp;'Register Configuration'!$C$274</f>
        <v>0x33333333</v>
      </c>
      <c r="D127" s="55" t="s">
        <v>459</v>
      </c>
    </row>
    <row r="128" spans="1:4">
      <c r="A128" s="55" t="str">
        <f>IF(OR('Register Configuration'!$C$19=16,'Register Configuration'!$C$19=32),"//","")&amp;"setmem /32"</f>
        <v>setmem /32</v>
      </c>
      <c r="B128" s="55" t="s">
        <v>460</v>
      </c>
      <c r="C128" s="57" t="str">
        <f>"0x"&amp;'Register Configuration'!$C$280</f>
        <v>0x33333333</v>
      </c>
      <c r="D128" s="55" t="s">
        <v>461</v>
      </c>
    </row>
    <row r="129" spans="1:4">
      <c r="A129" s="55" t="str">
        <f>IF(OR('Register Configuration'!$C$19=16,'Register Configuration'!$C$19=32),"//","")&amp;"setmem /32"</f>
        <v>setmem /32</v>
      </c>
      <c r="B129" s="55" t="s">
        <v>462</v>
      </c>
      <c r="C129" s="57" t="str">
        <f>"0x"&amp;'Register Configuration'!$C$286</f>
        <v>0x33333333</v>
      </c>
      <c r="D129" s="55" t="s">
        <v>463</v>
      </c>
    </row>
    <row r="130" spans="1:4">
      <c r="C130" s="59"/>
    </row>
    <row r="131" spans="1:4">
      <c r="A131" s="55" t="s">
        <v>476</v>
      </c>
      <c r="C131" s="59"/>
    </row>
    <row r="132" spans="1:4">
      <c r="A132" s="55" t="s">
        <v>477</v>
      </c>
      <c r="B132" s="55" t="s">
        <v>478</v>
      </c>
      <c r="C132" s="57" t="str">
        <f>"0x"&amp;'Register Configuration'!$C$291</f>
        <v>0x24911492</v>
      </c>
      <c r="D132" s="55" t="s">
        <v>479</v>
      </c>
    </row>
    <row r="133" spans="1:4">
      <c r="A133" s="55" t="s">
        <v>477</v>
      </c>
      <c r="B133" s="55" t="s">
        <v>480</v>
      </c>
      <c r="C133" s="57" t="str">
        <f>"0x"&amp;'Register Configuration'!$C$292</f>
        <v>0x24911492</v>
      </c>
    </row>
    <row r="134" spans="1:4">
      <c r="C134" s="59"/>
    </row>
    <row r="135" spans="1:4">
      <c r="A135" s="10" t="s">
        <v>531</v>
      </c>
      <c r="C135" s="59"/>
    </row>
    <row r="136" spans="1:4">
      <c r="A136" s="55" t="s">
        <v>376</v>
      </c>
      <c r="B136" s="55" t="s">
        <v>446</v>
      </c>
      <c r="C136" s="57" t="str">
        <f>"0x"&amp;'Register Configuration'!$C$297</f>
        <v>0x00000800</v>
      </c>
      <c r="D136" s="10" t="s">
        <v>512</v>
      </c>
    </row>
    <row r="137" spans="1:4">
      <c r="A137" s="55" t="str">
        <f>IF(OR('Register Configuration'!$C$19=16,'Register Configuration'!$C$19=32),"//","")&amp;"setmem /32"</f>
        <v>setmem /32</v>
      </c>
      <c r="B137" s="55" t="s">
        <v>447</v>
      </c>
      <c r="C137" s="57" t="str">
        <f>"0x"&amp;'Register Configuration'!$C$298</f>
        <v>0x00000800</v>
      </c>
      <c r="D137" s="10" t="s">
        <v>512</v>
      </c>
    </row>
    <row r="138" spans="1:4">
      <c r="A138" s="55" t="s">
        <v>366</v>
      </c>
    </row>
    <row r="139" spans="1:4">
      <c r="A139" s="55" t="s">
        <v>481</v>
      </c>
    </row>
    <row r="140" spans="1:4">
      <c r="A140" s="55" t="s">
        <v>366</v>
      </c>
    </row>
    <row r="141" spans="1:4">
      <c r="C141" s="59"/>
    </row>
    <row r="142" spans="1:4">
      <c r="A142" s="56" t="s">
        <v>532</v>
      </c>
      <c r="C142" s="59"/>
    </row>
    <row r="143" spans="1:4">
      <c r="A143" s="55" t="s">
        <v>376</v>
      </c>
      <c r="B143" s="55" t="s">
        <v>484</v>
      </c>
      <c r="C143" s="57" t="str">
        <f>"0x"&amp;'Register Configuration'!$C$303</f>
        <v>0x00020036</v>
      </c>
      <c r="D143" s="55" t="s">
        <v>485</v>
      </c>
    </row>
    <row r="144" spans="1:4">
      <c r="A144" s="55" t="s">
        <v>376</v>
      </c>
      <c r="B144" s="10" t="s">
        <v>500</v>
      </c>
      <c r="C144" s="57" t="str">
        <f>"0x"&amp;'Register Configuration'!$C$308</f>
        <v>0x24444040</v>
      </c>
      <c r="D144" s="10" t="s">
        <v>501</v>
      </c>
    </row>
    <row r="145" spans="1:4">
      <c r="A145" s="55" t="s">
        <v>376</v>
      </c>
      <c r="B145" s="55" t="s">
        <v>482</v>
      </c>
      <c r="C145" s="57" t="str">
        <f>"0x"&amp;'Register Configuration'!$C$313</f>
        <v>0xB8BE7955</v>
      </c>
      <c r="D145" s="55" t="s">
        <v>483</v>
      </c>
    </row>
    <row r="146" spans="1:4">
      <c r="A146" s="55" t="s">
        <v>376</v>
      </c>
      <c r="B146" s="55" t="s">
        <v>486</v>
      </c>
      <c r="C146" s="57" t="str">
        <f>"0x"&amp;'Register Configuration'!$C$318</f>
        <v>0xFF328F64</v>
      </c>
      <c r="D146" s="55" t="s">
        <v>487</v>
      </c>
    </row>
    <row r="147" spans="1:4">
      <c r="A147" s="55" t="s">
        <v>376</v>
      </c>
      <c r="B147" s="55" t="s">
        <v>488</v>
      </c>
      <c r="C147" s="57" t="str">
        <f>"0x"&amp;'Register Configuration'!$C$323</f>
        <v>0x01FF00DB</v>
      </c>
      <c r="D147" s="55" t="s">
        <v>489</v>
      </c>
    </row>
    <row r="148" spans="1:4">
      <c r="C148" s="59"/>
    </row>
    <row r="149" spans="1:4">
      <c r="A149" s="55" t="s">
        <v>490</v>
      </c>
      <c r="C149" s="59"/>
    </row>
    <row r="150" spans="1:4">
      <c r="A150" s="55" t="s">
        <v>491</v>
      </c>
      <c r="C150" s="59"/>
    </row>
    <row r="151" spans="1:4">
      <c r="A151" s="55" t="s">
        <v>492</v>
      </c>
      <c r="C151" s="59"/>
    </row>
    <row r="152" spans="1:4">
      <c r="A152" s="55" t="s">
        <v>493</v>
      </c>
      <c r="C152" s="59"/>
    </row>
    <row r="153" spans="1:4">
      <c r="A153" s="55" t="s">
        <v>376</v>
      </c>
      <c r="B153" s="55" t="s">
        <v>494</v>
      </c>
      <c r="C153" s="57" t="str">
        <f>"0x"&amp;'Register Configuration'!$C$328</f>
        <v>0x00011740</v>
      </c>
      <c r="D153" s="56" t="s">
        <v>495</v>
      </c>
    </row>
    <row r="154" spans="1:4">
      <c r="A154" s="55" t="s">
        <v>376</v>
      </c>
      <c r="B154" s="55" t="s">
        <v>443</v>
      </c>
      <c r="C154" s="57" t="str">
        <f>"0x"&amp;'Register Configuration'!$C$333</f>
        <v>0x00008000</v>
      </c>
      <c r="D154" s="56" t="s">
        <v>739</v>
      </c>
    </row>
    <row r="155" spans="1:4">
      <c r="A155" s="55" t="s">
        <v>376</v>
      </c>
      <c r="B155" s="55" t="s">
        <v>496</v>
      </c>
      <c r="C155" s="57" t="str">
        <f>"0x"&amp;'Register Configuration'!$C$338</f>
        <v>0x000026D2</v>
      </c>
      <c r="D155" s="56" t="s">
        <v>497</v>
      </c>
    </row>
    <row r="156" spans="1:4">
      <c r="A156" s="55" t="s">
        <v>376</v>
      </c>
      <c r="B156" s="55" t="s">
        <v>498</v>
      </c>
      <c r="C156" s="57" t="str">
        <f>"0x"&amp;'Register Configuration'!$C$343</f>
        <v>0x00BE1023</v>
      </c>
      <c r="D156" s="56" t="s">
        <v>499</v>
      </c>
    </row>
    <row r="157" spans="1:4">
      <c r="A157" s="55" t="s">
        <v>376</v>
      </c>
      <c r="B157" s="55" t="s">
        <v>502</v>
      </c>
      <c r="C157" s="57" t="str">
        <f>"0x"&amp;'Register Configuration'!$C$348</f>
        <v>0x0000007F</v>
      </c>
      <c r="D157" s="56" t="s">
        <v>503</v>
      </c>
    </row>
    <row r="158" spans="1:4">
      <c r="A158" s="55" t="s">
        <v>376</v>
      </c>
      <c r="B158" s="56" t="s">
        <v>504</v>
      </c>
      <c r="C158" s="57" t="str">
        <f>"0x"&amp;'Register Configuration'!$C$353</f>
        <v>0x851A0000</v>
      </c>
      <c r="D158" s="56" t="s">
        <v>505</v>
      </c>
    </row>
    <row r="159" spans="1:4">
      <c r="C159" s="59"/>
    </row>
    <row r="160" spans="1:4">
      <c r="A160" s="10" t="s">
        <v>551</v>
      </c>
      <c r="C160" s="59"/>
      <c r="D160" s="56"/>
    </row>
    <row r="161" spans="1:4">
      <c r="A161" s="55" t="s">
        <v>376</v>
      </c>
      <c r="B161" s="55" t="s">
        <v>443</v>
      </c>
      <c r="C161" s="57" t="str">
        <f>"0x"&amp;'Register Configuration'!$C$358</f>
        <v>0x02888032</v>
      </c>
      <c r="D161" s="56" t="s">
        <v>534</v>
      </c>
    </row>
    <row r="162" spans="1:4">
      <c r="A162" s="55" t="s">
        <v>376</v>
      </c>
      <c r="B162" s="55" t="s">
        <v>443</v>
      </c>
      <c r="C162" s="57" t="str">
        <f>"0x"&amp;'Register Configuration'!$C$359</f>
        <v>0x00008033</v>
      </c>
      <c r="D162" s="56" t="s">
        <v>535</v>
      </c>
    </row>
    <row r="163" spans="1:4">
      <c r="A163" s="55" t="s">
        <v>376</v>
      </c>
      <c r="B163" s="55" t="s">
        <v>443</v>
      </c>
      <c r="C163" s="57" t="str">
        <f>"0x"&amp;'Register Configuration'!$C$360</f>
        <v>0x00048031</v>
      </c>
      <c r="D163" s="56" t="s">
        <v>536</v>
      </c>
    </row>
    <row r="164" spans="1:4">
      <c r="A164" s="55" t="s">
        <v>376</v>
      </c>
      <c r="B164" s="55" t="s">
        <v>443</v>
      </c>
      <c r="C164" s="57" t="str">
        <f>"0x"&amp;'Register Configuration'!$C$361</f>
        <v>0x19408030</v>
      </c>
      <c r="D164" s="56" t="s">
        <v>537</v>
      </c>
    </row>
    <row r="165" spans="1:4">
      <c r="A165" s="55" t="s">
        <v>376</v>
      </c>
      <c r="B165" s="55" t="s">
        <v>443</v>
      </c>
      <c r="C165" s="57" t="str">
        <f>"0x"&amp;'Register Configuration'!$C$362</f>
        <v>0x04008040</v>
      </c>
      <c r="D165" s="56" t="s">
        <v>538</v>
      </c>
    </row>
    <row r="166" spans="1:4">
      <c r="C166" s="59"/>
      <c r="D166" s="56"/>
    </row>
    <row r="167" spans="1:4">
      <c r="A167" s="55" t="str">
        <f>IF('Register Configuration'!$C$21=1,"//","")&amp;"setmem /32"</f>
        <v>//setmem /32</v>
      </c>
      <c r="B167" s="55" t="s">
        <v>443</v>
      </c>
      <c r="C167" s="57" t="str">
        <f>"0x"&amp;'Register Configuration'!$C$363</f>
        <v>0x0288803A</v>
      </c>
      <c r="D167" s="56" t="s">
        <v>539</v>
      </c>
    </row>
    <row r="168" spans="1:4">
      <c r="A168" s="55" t="str">
        <f>IF('Register Configuration'!$C$21=1,"//","")&amp;"setmem /32"</f>
        <v>//setmem /32</v>
      </c>
      <c r="B168" s="55" t="s">
        <v>443</v>
      </c>
      <c r="C168" s="57" t="str">
        <f>"0x"&amp;'Register Configuration'!$C$364</f>
        <v>0x0000803B</v>
      </c>
      <c r="D168" s="56" t="s">
        <v>540</v>
      </c>
    </row>
    <row r="169" spans="1:4">
      <c r="A169" s="55" t="str">
        <f>IF('Register Configuration'!$C$21=1,"//","")&amp;"setmem /32"</f>
        <v>//setmem /32</v>
      </c>
      <c r="B169" s="55" t="s">
        <v>443</v>
      </c>
      <c r="C169" s="57" t="str">
        <f>"0x"&amp;'Register Configuration'!$C$365</f>
        <v>0x00048039</v>
      </c>
      <c r="D169" s="56" t="s">
        <v>541</v>
      </c>
    </row>
    <row r="170" spans="1:4">
      <c r="A170" s="55" t="str">
        <f>IF('Register Configuration'!$C$21=1,"//","")&amp;"setmem /32"</f>
        <v>//setmem /32</v>
      </c>
      <c r="B170" s="55" t="s">
        <v>443</v>
      </c>
      <c r="C170" s="57" t="str">
        <f>"0x"&amp;'Register Configuration'!$C$366</f>
        <v>0x19408038</v>
      </c>
      <c r="D170" s="56" t="s">
        <v>542</v>
      </c>
    </row>
    <row r="171" spans="1:4">
      <c r="A171" s="55" t="str">
        <f>IF('Register Configuration'!$C$21=1,"//","")&amp;"setmem /32"</f>
        <v>//setmem /32</v>
      </c>
      <c r="B171" s="55" t="s">
        <v>443</v>
      </c>
      <c r="C171" s="57" t="str">
        <f>"0x"&amp;'Register Configuration'!$C$367</f>
        <v>0x04008048</v>
      </c>
      <c r="D171" s="56" t="s">
        <v>543</v>
      </c>
    </row>
    <row r="172" spans="1:4">
      <c r="C172" s="59"/>
      <c r="D172" s="56"/>
    </row>
    <row r="173" spans="1:4">
      <c r="A173" s="55" t="s">
        <v>376</v>
      </c>
      <c r="B173" s="55" t="s">
        <v>506</v>
      </c>
      <c r="C173" s="57" t="str">
        <f>"0x"&amp;'Register Configuration'!$C$372</f>
        <v>0x00007800</v>
      </c>
      <c r="D173" s="56" t="s">
        <v>507</v>
      </c>
    </row>
    <row r="174" spans="1:4">
      <c r="D174" s="56"/>
    </row>
    <row r="175" spans="1:4">
      <c r="A175" s="55" t="s">
        <v>376</v>
      </c>
      <c r="B175" s="55" t="s">
        <v>508</v>
      </c>
      <c r="C175" s="57" t="str">
        <f>"0x"&amp;'Register Configuration'!$C$377</f>
        <v>0x00022227</v>
      </c>
      <c r="D175" s="56" t="s">
        <v>509</v>
      </c>
    </row>
    <row r="176" spans="1:4">
      <c r="A176" s="55" t="str">
        <f>IF('Register Configuration'!$C$19&lt;&gt;64,"//","")&amp;"setmem /32"</f>
        <v>setmem /32</v>
      </c>
      <c r="B176" s="55" t="s">
        <v>510</v>
      </c>
      <c r="C176" s="57" t="str">
        <f>"0x"&amp;'Register Configuration'!$C$378</f>
        <v>0x00022227</v>
      </c>
      <c r="D176" s="56" t="s">
        <v>511</v>
      </c>
    </row>
    <row r="177" spans="1:4">
      <c r="D177" s="56"/>
    </row>
    <row r="178" spans="1:4">
      <c r="A178" s="55" t="s">
        <v>376</v>
      </c>
      <c r="B178" s="55" t="s">
        <v>484</v>
      </c>
      <c r="C178" s="57" t="str">
        <f>"0x"&amp;'Register Configuration'!$C$383</f>
        <v>0x00025576</v>
      </c>
      <c r="D178" s="56" t="s">
        <v>513</v>
      </c>
    </row>
    <row r="179" spans="1:4">
      <c r="C179" s="59"/>
    </row>
    <row r="180" spans="1:4">
      <c r="A180" s="55" t="s">
        <v>376</v>
      </c>
      <c r="B180" s="55" t="s">
        <v>514</v>
      </c>
      <c r="C180" s="57" t="str">
        <f>"0x"&amp;'Register Configuration'!$C$388</f>
        <v>0x00011006</v>
      </c>
      <c r="D180" s="10" t="s">
        <v>544</v>
      </c>
    </row>
    <row r="181" spans="1:4">
      <c r="C181" s="59"/>
    </row>
    <row r="182" spans="1:4">
      <c r="A182" s="55" t="s">
        <v>376</v>
      </c>
      <c r="B182" s="55" t="s">
        <v>443</v>
      </c>
      <c r="C182" s="64" t="s">
        <v>396</v>
      </c>
      <c r="D182" s="56" t="s">
        <v>515</v>
      </c>
    </row>
    <row r="183" spans="1:4">
      <c r="B183" s="56"/>
      <c r="C183" s="63"/>
      <c r="D183" s="56"/>
    </row>
    <row r="184" spans="1:4">
      <c r="C184" s="59"/>
    </row>
    <row r="185" spans="1:4">
      <c r="C185" s="59"/>
    </row>
    <row r="186" spans="1:4">
      <c r="C186" s="63"/>
    </row>
    <row r="187" spans="1:4">
      <c r="C187" s="59"/>
    </row>
    <row r="188" spans="1:4">
      <c r="C188" s="59"/>
    </row>
    <row r="189" spans="1:4">
      <c r="C189" s="59"/>
    </row>
    <row r="190" spans="1:4">
      <c r="C190" s="59"/>
    </row>
    <row r="191" spans="1:4">
      <c r="C191" s="59"/>
    </row>
    <row r="192" spans="1:4">
      <c r="C192" s="59"/>
    </row>
    <row r="193" spans="1:4">
      <c r="C193" s="59"/>
    </row>
    <row r="194" spans="1:4">
      <c r="C194" s="59"/>
    </row>
    <row r="195" spans="1:4">
      <c r="C195" s="59"/>
    </row>
    <row r="196" spans="1:4">
      <c r="C196" s="59"/>
    </row>
    <row r="197" spans="1:4">
      <c r="C197" s="59"/>
    </row>
    <row r="198" spans="1:4">
      <c r="C198" s="59"/>
    </row>
    <row r="199" spans="1:4">
      <c r="C199" s="59"/>
    </row>
    <row r="200" spans="1:4">
      <c r="C200" s="59"/>
    </row>
    <row r="201" spans="1:4">
      <c r="C201" s="63"/>
    </row>
    <row r="203" spans="1:4">
      <c r="A203" s="59"/>
      <c r="B203" s="59"/>
      <c r="C203" s="59"/>
      <c r="D203" s="59"/>
    </row>
    <row r="204" spans="1:4">
      <c r="A204" s="59"/>
      <c r="B204" s="59"/>
      <c r="C204" s="59"/>
      <c r="D204" s="59"/>
    </row>
    <row r="205" spans="1:4">
      <c r="A205" s="59"/>
      <c r="B205" s="59"/>
      <c r="C205" s="59"/>
      <c r="D205" s="59"/>
    </row>
    <row r="206" spans="1:4">
      <c r="A206" s="59"/>
      <c r="B206" s="59"/>
      <c r="C206" s="59"/>
      <c r="D206" s="59"/>
    </row>
    <row r="207" spans="1:4">
      <c r="A207" s="59"/>
      <c r="B207" s="59"/>
      <c r="C207" s="59"/>
      <c r="D207" s="59"/>
    </row>
    <row r="208" spans="1:4">
      <c r="A208" s="59"/>
      <c r="B208" s="59"/>
      <c r="C208" s="59"/>
      <c r="D208" s="59"/>
    </row>
    <row r="209" spans="1:4">
      <c r="A209" s="59"/>
      <c r="B209" s="59"/>
      <c r="C209" s="59"/>
      <c r="D209" s="59"/>
    </row>
    <row r="210" spans="1:4">
      <c r="A210" s="59"/>
      <c r="B210" s="59"/>
      <c r="C210" s="59"/>
      <c r="D210" s="59"/>
    </row>
    <row r="211" spans="1:4">
      <c r="A211" s="59"/>
      <c r="B211" s="59"/>
      <c r="C211" s="59"/>
      <c r="D211" s="59"/>
    </row>
    <row r="212" spans="1:4">
      <c r="A212" s="59"/>
      <c r="B212" s="59"/>
      <c r="C212" s="59"/>
      <c r="D212" s="59"/>
    </row>
    <row r="213" spans="1:4">
      <c r="A213" s="59"/>
      <c r="B213" s="59"/>
      <c r="C213" s="59"/>
      <c r="D213" s="59"/>
    </row>
    <row r="214" spans="1:4">
      <c r="A214" s="59"/>
      <c r="B214" s="59"/>
      <c r="C214" s="59"/>
      <c r="D214" s="59"/>
    </row>
    <row r="215" spans="1:4">
      <c r="A215" s="59"/>
      <c r="B215" s="59"/>
      <c r="C215" s="59"/>
      <c r="D215" s="59"/>
    </row>
    <row r="216" spans="1:4">
      <c r="A216" s="59"/>
      <c r="B216" s="59"/>
      <c r="C216" s="59"/>
      <c r="D216" s="59"/>
    </row>
    <row r="217" spans="1:4">
      <c r="A217" s="59"/>
      <c r="B217" s="59"/>
      <c r="C217" s="59"/>
      <c r="D217" s="59"/>
    </row>
    <row r="218" spans="1:4">
      <c r="A218" s="59"/>
      <c r="B218" s="59"/>
      <c r="C218" s="59"/>
      <c r="D218" s="59"/>
    </row>
    <row r="219" spans="1:4">
      <c r="A219" s="59"/>
      <c r="B219" s="59"/>
      <c r="C219" s="59"/>
      <c r="D219" s="59"/>
    </row>
    <row r="220" spans="1:4">
      <c r="A220" s="59"/>
      <c r="B220" s="59"/>
      <c r="C220" s="59"/>
      <c r="D220" s="59"/>
    </row>
    <row r="221" spans="1:4">
      <c r="A221" s="59"/>
      <c r="B221" s="59"/>
      <c r="C221" s="59"/>
      <c r="D221" s="59"/>
    </row>
    <row r="222" spans="1:4">
      <c r="A222" s="59"/>
      <c r="B222" s="59"/>
      <c r="C222" s="59"/>
      <c r="D222" s="59"/>
    </row>
    <row r="223" spans="1:4">
      <c r="A223" s="59"/>
      <c r="B223" s="59"/>
      <c r="C223" s="59"/>
      <c r="D223" s="59"/>
    </row>
    <row r="224" spans="1:4">
      <c r="A224" s="59"/>
      <c r="B224" s="59"/>
      <c r="C224" s="59"/>
      <c r="D224" s="59"/>
    </row>
    <row r="225" spans="1:4">
      <c r="A225" s="59"/>
      <c r="B225" s="59"/>
      <c r="C225" s="59"/>
      <c r="D225" s="59"/>
    </row>
    <row r="226" spans="1:4">
      <c r="A226" s="59"/>
      <c r="B226" s="59"/>
      <c r="C226" s="59"/>
      <c r="D226" s="59"/>
    </row>
    <row r="227" spans="1:4">
      <c r="A227" s="59"/>
      <c r="B227" s="59"/>
      <c r="C227" s="59"/>
      <c r="D227" s="59"/>
    </row>
    <row r="228" spans="1:4">
      <c r="A228" s="59"/>
      <c r="B228" s="59"/>
      <c r="C228" s="59"/>
      <c r="D228" s="59"/>
    </row>
    <row r="229" spans="1:4">
      <c r="A229" s="59"/>
      <c r="B229" s="59"/>
      <c r="C229" s="59"/>
      <c r="D229" s="59"/>
    </row>
    <row r="230" spans="1:4">
      <c r="A230" s="59"/>
      <c r="B230" s="59"/>
      <c r="C230" s="59"/>
      <c r="D230" s="59"/>
    </row>
    <row r="231" spans="1:4">
      <c r="A231" s="59"/>
      <c r="B231" s="59"/>
      <c r="C231" s="59"/>
      <c r="D231" s="59"/>
    </row>
    <row r="232" spans="1:4">
      <c r="A232" s="63"/>
      <c r="B232" s="59"/>
      <c r="C232" s="59"/>
      <c r="D232" s="59"/>
    </row>
    <row r="233" spans="1:4">
      <c r="A233" s="59"/>
      <c r="B233" s="59"/>
      <c r="C233" s="59"/>
      <c r="D233" s="59"/>
    </row>
    <row r="234" spans="1:4">
      <c r="A234" s="59"/>
      <c r="B234" s="59"/>
      <c r="C234" s="59"/>
      <c r="D234" s="59"/>
    </row>
    <row r="235" spans="1:4">
      <c r="A235" s="59"/>
      <c r="B235" s="59"/>
      <c r="C235" s="59"/>
      <c r="D235" s="59"/>
    </row>
    <row r="236" spans="1:4">
      <c r="A236" s="59"/>
      <c r="B236" s="59"/>
      <c r="C236" s="59"/>
      <c r="D236" s="59"/>
    </row>
    <row r="237" spans="1:4">
      <c r="A237" s="59"/>
      <c r="B237" s="59"/>
      <c r="C237" s="59"/>
      <c r="D237" s="59"/>
    </row>
  </sheetData>
  <sheetProtection algorithmName="SHA-512" hashValue="8yNM7FqSM0149JIEEz2RKglqfBr9w/CjH1hLOR24/oo0CLQdXdKZdbvH0yGRWAvEMHQb82XwpVKGN70pPFtWBQ==" saltValue="59w5ITl2nWYG8z9GJVE/sQ==" spinCount="100000" sheet="1" objects="1" scenarios="1"/>
  <phoneticPr fontId="2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33"/>
  <sheetViews>
    <sheetView topLeftCell="A85" workbookViewId="0">
      <selection activeCell="E37" sqref="E37"/>
    </sheetView>
  </sheetViews>
  <sheetFormatPr defaultRowHeight="14.4"/>
  <cols>
    <col min="1" max="2" width="12.6640625" style="98" customWidth="1"/>
    <col min="3" max="3" width="4.6640625" style="91" customWidth="1"/>
    <col min="4" max="4" width="12.44140625" style="98" bestFit="1" customWidth="1"/>
    <col min="5" max="5" width="118" style="55" customWidth="1"/>
  </cols>
  <sheetData>
    <row r="1" spans="1:5">
      <c r="A1" s="98" t="s">
        <v>620</v>
      </c>
    </row>
    <row r="2" spans="1:5">
      <c r="A2" s="99" t="str">
        <f>"#init script for "&amp;'Register Configuration'!$C$18&amp;" DDR3"</f>
        <v>#init script for i.Mx6Q DDR3</v>
      </c>
    </row>
    <row r="3" spans="1:5">
      <c r="A3" s="98" t="s">
        <v>620</v>
      </c>
    </row>
    <row r="4" spans="1:5">
      <c r="A4" s="98" t="s">
        <v>744</v>
      </c>
      <c r="B4" s="98" t="s">
        <v>740</v>
      </c>
      <c r="D4" s="98" t="s">
        <v>741</v>
      </c>
      <c r="E4" s="55" t="s">
        <v>742</v>
      </c>
    </row>
    <row r="5" spans="1:5">
      <c r="A5" s="98" t="s">
        <v>620</v>
      </c>
    </row>
    <row r="6" spans="1:5">
      <c r="A6" s="98" t="s">
        <v>621</v>
      </c>
      <c r="B6" s="98" t="s">
        <v>371</v>
      </c>
    </row>
    <row r="7" spans="1:5">
      <c r="A7" s="98" t="s">
        <v>620</v>
      </c>
    </row>
    <row r="8" spans="1:5">
      <c r="A8" s="98" t="s">
        <v>619</v>
      </c>
      <c r="B8" s="99" t="s">
        <v>618</v>
      </c>
      <c r="C8" s="92">
        <v>16</v>
      </c>
      <c r="D8" s="98" t="s">
        <v>374</v>
      </c>
    </row>
    <row r="10" spans="1:5">
      <c r="A10" s="98" t="s">
        <v>620</v>
      </c>
    </row>
    <row r="11" spans="1:5">
      <c r="A11" s="98" t="s">
        <v>622</v>
      </c>
    </row>
    <row r="12" spans="1:5">
      <c r="A12" s="98" t="s">
        <v>620</v>
      </c>
    </row>
    <row r="13" spans="1:5">
      <c r="A13" s="98" t="s">
        <v>619</v>
      </c>
      <c r="B13" s="98" t="s">
        <v>569</v>
      </c>
      <c r="C13" s="91">
        <v>32</v>
      </c>
      <c r="D13" s="98" t="s">
        <v>378</v>
      </c>
    </row>
    <row r="14" spans="1:5">
      <c r="A14" s="98" t="s">
        <v>619</v>
      </c>
      <c r="B14" s="98" t="s">
        <v>570</v>
      </c>
      <c r="C14" s="91">
        <v>32</v>
      </c>
      <c r="D14" s="98" t="s">
        <v>378</v>
      </c>
    </row>
    <row r="15" spans="1:5">
      <c r="A15" s="98" t="s">
        <v>619</v>
      </c>
      <c r="B15" s="98" t="s">
        <v>571</v>
      </c>
      <c r="C15" s="91">
        <v>32</v>
      </c>
      <c r="D15" s="98" t="s">
        <v>378</v>
      </c>
    </row>
    <row r="16" spans="1:5">
      <c r="A16" s="98" t="s">
        <v>619</v>
      </c>
      <c r="B16" s="98" t="s">
        <v>572</v>
      </c>
      <c r="C16" s="91">
        <v>32</v>
      </c>
      <c r="D16" s="98" t="s">
        <v>378</v>
      </c>
    </row>
    <row r="17" spans="1:5">
      <c r="A17" s="98" t="s">
        <v>619</v>
      </c>
      <c r="B17" s="98" t="s">
        <v>573</v>
      </c>
      <c r="C17" s="91">
        <v>32</v>
      </c>
      <c r="D17" s="98" t="s">
        <v>378</v>
      </c>
    </row>
    <row r="18" spans="1:5">
      <c r="A18" s="98" t="s">
        <v>619</v>
      </c>
      <c r="B18" s="98" t="s">
        <v>574</v>
      </c>
      <c r="C18" s="91">
        <v>32</v>
      </c>
      <c r="D18" s="98" t="s">
        <v>378</v>
      </c>
    </row>
    <row r="19" spans="1:5">
      <c r="A19" s="98" t="s">
        <v>619</v>
      </c>
      <c r="B19" s="98" t="s">
        <v>575</v>
      </c>
      <c r="C19" s="91">
        <v>32</v>
      </c>
      <c r="D19" s="98" t="s">
        <v>378</v>
      </c>
    </row>
    <row r="20" spans="1:5">
      <c r="A20" s="98" t="s">
        <v>619</v>
      </c>
      <c r="B20" s="98" t="s">
        <v>576</v>
      </c>
      <c r="C20" s="91">
        <v>32</v>
      </c>
      <c r="D20" s="98" t="s">
        <v>378</v>
      </c>
    </row>
    <row r="22" spans="1:5">
      <c r="A22" s="98" t="s">
        <v>620</v>
      </c>
    </row>
    <row r="23" spans="1:5">
      <c r="A23" s="98" t="s">
        <v>623</v>
      </c>
    </row>
    <row r="24" spans="1:5">
      <c r="A24" s="98" t="s">
        <v>620</v>
      </c>
    </row>
    <row r="25" spans="1:5">
      <c r="A25" s="98" t="s">
        <v>624</v>
      </c>
    </row>
    <row r="26" spans="1:5">
      <c r="A26" s="98" t="s">
        <v>619</v>
      </c>
      <c r="B26" s="100" t="str">
        <f>IF('Register Configuration'!$D$18="Arik","0x020e0798 ","0x020e0774 ")</f>
        <v xml:space="preserve">0x020e0798 </v>
      </c>
      <c r="C26" s="91">
        <v>32</v>
      </c>
      <c r="D26" s="62" t="str">
        <f>"0x"&amp;'Register Configuration'!$C$36</f>
        <v>0x000C0000</v>
      </c>
      <c r="E26" s="56" t="s">
        <v>656</v>
      </c>
    </row>
    <row r="27" spans="1:5">
      <c r="A27" s="98" t="s">
        <v>619</v>
      </c>
      <c r="B27" s="98" t="str">
        <f>IF('Register Configuration'!$D$18="Arik","0x020e0758 ","0x020e0754 ")</f>
        <v xml:space="preserve">0x020e0758 </v>
      </c>
      <c r="C27" s="91">
        <v>32</v>
      </c>
      <c r="D27" s="62" t="str">
        <f>"0x"&amp;'Register Configuration'!$C$41</f>
        <v>0x00000000</v>
      </c>
      <c r="E27" s="56" t="s">
        <v>657</v>
      </c>
    </row>
    <row r="29" spans="1:5">
      <c r="A29" s="98" t="s">
        <v>625</v>
      </c>
    </row>
    <row r="30" spans="1:5">
      <c r="A30" s="98" t="s">
        <v>619</v>
      </c>
      <c r="B30" s="98" t="str">
        <f>IF('Register Configuration'!$D$18="Arik","0x020e0588 ","0x020e04ac ")</f>
        <v xml:space="preserve">0x020e0588 </v>
      </c>
      <c r="C30" s="91">
        <v>32</v>
      </c>
      <c r="D30" s="62" t="str">
        <f>"0x"&amp;'Register Configuration'!$C$46</f>
        <v>0x00000028</v>
      </c>
      <c r="E30" s="56" t="s">
        <v>658</v>
      </c>
    </row>
    <row r="31" spans="1:5">
      <c r="A31" s="98" t="s">
        <v>619</v>
      </c>
      <c r="B31" s="98" t="str">
        <f>IF('Register Configuration'!$D$18="Arik","0x020e0594 ","0x020e04b0 ")</f>
        <v xml:space="preserve">0x020e0594 </v>
      </c>
      <c r="C31" s="91">
        <v>32</v>
      </c>
      <c r="D31" s="62" t="str">
        <f>"0x"&amp;'Register Configuration'!$C$51</f>
        <v>0x00000028</v>
      </c>
      <c r="E31" s="55" t="s">
        <v>659</v>
      </c>
    </row>
    <row r="33" spans="1:5">
      <c r="A33" s="98" t="s">
        <v>626</v>
      </c>
    </row>
    <row r="34" spans="1:5">
      <c r="A34" s="98" t="s">
        <v>619</v>
      </c>
      <c r="B34" s="100" t="str">
        <f>IF('Register Configuration'!$D$18="Arik","0x020e056c ","0x020e0464 ")</f>
        <v xml:space="preserve">0x020e056c </v>
      </c>
      <c r="C34" s="91">
        <v>32</v>
      </c>
      <c r="D34" s="62" t="str">
        <f>"0x"&amp;'Register Configuration'!$C$56</f>
        <v>0x00000028</v>
      </c>
      <c r="E34" s="55" t="s">
        <v>660</v>
      </c>
    </row>
    <row r="35" spans="1:5">
      <c r="A35" s="98" t="s">
        <v>619</v>
      </c>
      <c r="B35" s="100" t="str">
        <f>IF('Register Configuration'!$D$18="Arik","0x020e0578 ","0x020e0490 ")</f>
        <v xml:space="preserve">0x020e0578 </v>
      </c>
      <c r="C35" s="91">
        <v>32</v>
      </c>
      <c r="D35" s="62" t="str">
        <f>"0x"&amp;'Register Configuration'!$C$61</f>
        <v>0x00000028</v>
      </c>
      <c r="E35" s="55" t="s">
        <v>661</v>
      </c>
    </row>
    <row r="36" spans="1:5">
      <c r="A36" s="98" t="s">
        <v>619</v>
      </c>
      <c r="B36" s="100" t="s">
        <v>577</v>
      </c>
      <c r="C36" s="91">
        <v>32</v>
      </c>
      <c r="D36" s="62" t="str">
        <f>"0x"&amp;'Register Configuration'!$C$66</f>
        <v>0x00000028</v>
      </c>
      <c r="E36" s="55" t="s">
        <v>662</v>
      </c>
    </row>
    <row r="38" spans="1:5">
      <c r="A38" s="98" t="s">
        <v>627</v>
      </c>
    </row>
    <row r="39" spans="1:5">
      <c r="A39" s="98" t="s">
        <v>619</v>
      </c>
      <c r="B39" s="98" t="str">
        <f>IF('Register Configuration'!$D$18="Arik","0x020e057c ","0x020e0494 ")</f>
        <v xml:space="preserve">0x020e057c </v>
      </c>
      <c r="C39" s="91">
        <v>32</v>
      </c>
      <c r="D39" s="62" t="str">
        <f>"0x"&amp;'Register Configuration'!$C$71</f>
        <v>0x00000028</v>
      </c>
      <c r="E39" s="56" t="s">
        <v>663</v>
      </c>
    </row>
    <row r="40" spans="1:5">
      <c r="A40" s="98" t="s">
        <v>619</v>
      </c>
      <c r="B40" s="98" t="str">
        <f>IF('Register Configuration'!$D$18="Arik","0x020e058c ","0x020e04a0 ")</f>
        <v xml:space="preserve">0x020e058c </v>
      </c>
      <c r="C40" s="91">
        <v>32</v>
      </c>
      <c r="D40" s="62" t="str">
        <f>"0x"&amp;'Register Configuration'!$C$76</f>
        <v>0x00000000</v>
      </c>
      <c r="E40" s="56" t="s">
        <v>664</v>
      </c>
    </row>
    <row r="41" spans="1:5">
      <c r="A41" s="98" t="s">
        <v>619</v>
      </c>
      <c r="B41" s="98" t="str">
        <f>IF('Register Configuration'!$D$18="Arik","0x020e059c ","0x020e04b4 ")</f>
        <v xml:space="preserve">0x020e059c </v>
      </c>
      <c r="C41" s="91">
        <v>32</v>
      </c>
      <c r="D41" s="62" t="str">
        <f>"0x"&amp;'Register Configuration'!$C$81</f>
        <v>0x00000028</v>
      </c>
      <c r="E41" s="55" t="s">
        <v>665</v>
      </c>
    </row>
    <row r="42" spans="1:5">
      <c r="A42" s="98" t="s">
        <v>619</v>
      </c>
      <c r="B42" s="98" t="str">
        <f>IF('Register Configuration'!$D$18="Arik","0x020e05a0 ","0x020e04b8 ")</f>
        <v xml:space="preserve">0x020e05a0 </v>
      </c>
      <c r="C42" s="91">
        <v>32</v>
      </c>
      <c r="D42" s="62" t="str">
        <f>"0x"&amp;'Register Configuration'!$C$86</f>
        <v>0x00000028</v>
      </c>
      <c r="E42" s="55" t="s">
        <v>666</v>
      </c>
    </row>
    <row r="43" spans="1:5">
      <c r="A43" s="98" t="s">
        <v>619</v>
      </c>
      <c r="B43" s="98" t="str">
        <f>IF('Register Configuration'!$D$18="Arik","0x020e078c ","0x020e076c ")</f>
        <v xml:space="preserve">0x020e078c </v>
      </c>
      <c r="C43" s="91">
        <v>32</v>
      </c>
      <c r="D43" s="62" t="str">
        <f>"0x"&amp;'Register Configuration'!$C$91</f>
        <v>0x00000028</v>
      </c>
      <c r="E43" s="55" t="s">
        <v>667</v>
      </c>
    </row>
    <row r="45" spans="1:5">
      <c r="A45" s="98" t="s">
        <v>628</v>
      </c>
    </row>
    <row r="46" spans="1:5">
      <c r="A46" s="98" t="s">
        <v>619</v>
      </c>
      <c r="B46" s="98" t="s">
        <v>578</v>
      </c>
      <c r="C46" s="91">
        <v>32</v>
      </c>
      <c r="D46" s="62" t="str">
        <f>"0x"&amp;'Register Configuration'!$C$96</f>
        <v>0x00020000</v>
      </c>
      <c r="E46" s="56" t="s">
        <v>668</v>
      </c>
    </row>
    <row r="47" spans="1:5">
      <c r="A47" s="98" t="s">
        <v>619</v>
      </c>
      <c r="B47" s="98" t="str">
        <f>IF('Register Configuration'!$D$18="Arik","0x020e05a8 ","0x020e04bc ")</f>
        <v xml:space="preserve">0x020e05a8 </v>
      </c>
      <c r="C47" s="91">
        <v>32</v>
      </c>
      <c r="D47" s="62" t="str">
        <f>"0x"&amp;'Register Configuration'!$C$101</f>
        <v>0x00000028</v>
      </c>
      <c r="E47" s="56" t="s">
        <v>669</v>
      </c>
    </row>
    <row r="48" spans="1:5">
      <c r="A48" s="98" t="s">
        <v>619</v>
      </c>
      <c r="B48" s="98" t="str">
        <f>IF('Register Configuration'!$D$18="Arik","0x020e05b0 ","0x020e04c0 ")</f>
        <v xml:space="preserve">0x020e05b0 </v>
      </c>
      <c r="C48" s="91">
        <v>32</v>
      </c>
      <c r="D48" s="62" t="str">
        <f>"0x"&amp;'Register Configuration'!$C$106</f>
        <v>0x00000028</v>
      </c>
      <c r="E48" s="55" t="s">
        <v>670</v>
      </c>
    </row>
    <row r="49" spans="1:5">
      <c r="A49" s="98" t="str">
        <f>IF('Register Configuration'!$C$19=16,"#","")&amp;"mem set "</f>
        <v xml:space="preserve">mem set </v>
      </c>
      <c r="B49" s="98" t="str">
        <f>IF('Register Configuration'!$D$18="Arik","0x020e0524 ","0x020e04c4 ")</f>
        <v xml:space="preserve">0x020e0524 </v>
      </c>
      <c r="C49" s="91">
        <v>32</v>
      </c>
      <c r="D49" s="62" t="str">
        <f>"0x"&amp;'Register Configuration'!$C$111</f>
        <v>0x00000028</v>
      </c>
      <c r="E49" s="55" t="s">
        <v>671</v>
      </c>
    </row>
    <row r="50" spans="1:5">
      <c r="A50" s="99" t="str">
        <f>IF('Register Configuration'!$C$19=16,"#","")&amp;"mem set "</f>
        <v xml:space="preserve">mem set </v>
      </c>
      <c r="B50" s="98" t="str">
        <f>IF('Register Configuration'!$D$18="Arik","0x020e051c ","0x020e04c8 ")</f>
        <v xml:space="preserve">0x020e051c </v>
      </c>
      <c r="C50" s="91">
        <v>32</v>
      </c>
      <c r="D50" s="62" t="str">
        <f>"0x"&amp;'Register Configuration'!$C$116</f>
        <v>0x00000028</v>
      </c>
      <c r="E50" s="55" t="s">
        <v>672</v>
      </c>
    </row>
    <row r="51" spans="1:5">
      <c r="A51" s="98" t="str">
        <f>IF(OR('Register Configuration'!$C$19=16,'Register Configuration'!$C$19=32),"#","")&amp;"mem set "</f>
        <v xml:space="preserve">mem set </v>
      </c>
      <c r="B51" s="98" t="str">
        <f>IF('Register Configuration'!$D$18="Arik","0x020e0518 ","0x020e04cc ")</f>
        <v xml:space="preserve">0x020e0518 </v>
      </c>
      <c r="C51" s="91">
        <v>32</v>
      </c>
      <c r="D51" s="62" t="str">
        <f>"0x"&amp;'Register Configuration'!$C$121</f>
        <v>0x00000028</v>
      </c>
      <c r="E51" s="55" t="s">
        <v>673</v>
      </c>
    </row>
    <row r="52" spans="1:5">
      <c r="A52" s="98" t="str">
        <f>IF(OR('Register Configuration'!$C$19=16,'Register Configuration'!$C$19=32),"#","")&amp;"mem set "</f>
        <v xml:space="preserve">mem set </v>
      </c>
      <c r="B52" s="98" t="str">
        <f>IF('Register Configuration'!$D$18="Arik","0x020e050c ","0x020e04d0 ")</f>
        <v xml:space="preserve">0x020e050c </v>
      </c>
      <c r="C52" s="91">
        <v>32</v>
      </c>
      <c r="D52" s="62" t="str">
        <f>"0x"&amp;'Register Configuration'!$C$126</f>
        <v>0x00000028</v>
      </c>
      <c r="E52" s="55" t="s">
        <v>674</v>
      </c>
    </row>
    <row r="53" spans="1:5">
      <c r="A53" s="98" t="str">
        <f>IF(OR('Register Configuration'!$C$19=16,'Register Configuration'!$C$19=32),"#","")&amp;"mem set "</f>
        <v xml:space="preserve">mem set </v>
      </c>
      <c r="B53" s="98" t="str">
        <f>IF('Register Configuration'!$D$18="Arik","0x020e05b8 ","0x020e04d4 ")</f>
        <v xml:space="preserve">0x020e05b8 </v>
      </c>
      <c r="C53" s="91">
        <v>32</v>
      </c>
      <c r="D53" s="62" t="str">
        <f>"0x"&amp;'Register Configuration'!$C$131</f>
        <v>0x00000028</v>
      </c>
      <c r="E53" s="55" t="s">
        <v>675</v>
      </c>
    </row>
    <row r="54" spans="1:5">
      <c r="A54" s="98" t="str">
        <f>IF(OR('Register Configuration'!$C$19=16,'Register Configuration'!$C$19=32),"#","")&amp;"mem set "</f>
        <v xml:space="preserve">mem set </v>
      </c>
      <c r="B54" s="98" t="str">
        <f>IF('Register Configuration'!$D$18="Arik","0x020e05c0 ","0x020e04d8 ")</f>
        <v xml:space="preserve">0x020e05c0 </v>
      </c>
      <c r="C54" s="91">
        <v>32</v>
      </c>
      <c r="D54" s="62" t="str">
        <f>"0x"&amp;'Register Configuration'!$C$136</f>
        <v>0x00000028</v>
      </c>
      <c r="E54" s="55" t="s">
        <v>676</v>
      </c>
    </row>
    <row r="56" spans="1:5">
      <c r="A56" s="98" t="s">
        <v>629</v>
      </c>
    </row>
    <row r="57" spans="1:5">
      <c r="A57" s="98" t="s">
        <v>619</v>
      </c>
      <c r="B57" s="98" t="str">
        <f>IF('Register Configuration'!$D$18="Arik","0x020e0774 ","0x020e0760 ")</f>
        <v xml:space="preserve">0x020e0774 </v>
      </c>
      <c r="C57" s="91">
        <v>32</v>
      </c>
      <c r="D57" s="62" t="str">
        <f>"0x"&amp;'Register Configuration'!$C$141</f>
        <v>0x00020000</v>
      </c>
      <c r="E57" s="56" t="s">
        <v>677</v>
      </c>
    </row>
    <row r="58" spans="1:5">
      <c r="A58" s="98" t="s">
        <v>619</v>
      </c>
      <c r="B58" s="98" t="str">
        <f>IF('Register Configuration'!$D$18="Arik","0x020e0784 ","0x020e0764 ")</f>
        <v xml:space="preserve">0x020e0784 </v>
      </c>
      <c r="C58" s="91">
        <v>32</v>
      </c>
      <c r="D58" s="62" t="str">
        <f>"0x"&amp;'Register Configuration'!$C$146</f>
        <v>0x00000028</v>
      </c>
      <c r="E58" s="55" t="s">
        <v>678</v>
      </c>
    </row>
    <row r="59" spans="1:5">
      <c r="A59" s="98" t="s">
        <v>619</v>
      </c>
      <c r="B59" s="98" t="str">
        <f>IF('Register Configuration'!$D$18="Arik","0x020e0788 ","0x020e0770 ")</f>
        <v xml:space="preserve">0x020e0788 </v>
      </c>
      <c r="C59" s="91">
        <v>32</v>
      </c>
      <c r="D59" s="62" t="str">
        <f>"0x"&amp;'Register Configuration'!$C$151</f>
        <v>0x00000028</v>
      </c>
      <c r="E59" s="55" t="s">
        <v>679</v>
      </c>
    </row>
    <row r="60" spans="1:5">
      <c r="A60" s="98" t="str">
        <f>IF('Register Configuration'!$C$19=16,"#","")&amp;"mem set "</f>
        <v xml:space="preserve">mem set </v>
      </c>
      <c r="B60" s="98" t="str">
        <f>IF('Register Configuration'!$D$18="Arik","0x020e0794 ","0x020e0778 ")</f>
        <v xml:space="preserve">0x020e0794 </v>
      </c>
      <c r="C60" s="91">
        <v>32</v>
      </c>
      <c r="D60" s="62" t="str">
        <f>"0x"&amp;'Register Configuration'!$C$156</f>
        <v>0x00000028</v>
      </c>
      <c r="E60" s="55" t="s">
        <v>680</v>
      </c>
    </row>
    <row r="61" spans="1:5">
      <c r="A61" s="99" t="str">
        <f>IF('Register Configuration'!$C$19=16,"#","")&amp;"mem set "</f>
        <v xml:space="preserve">mem set </v>
      </c>
      <c r="B61" s="98" t="str">
        <f>IF('Register Configuration'!$D$18="Arik","0x020e079c ","0x020e077c ")</f>
        <v xml:space="preserve">0x020e079c </v>
      </c>
      <c r="C61" s="91">
        <v>32</v>
      </c>
      <c r="D61" s="62" t="str">
        <f>"0x"&amp;'Register Configuration'!$C$161</f>
        <v>0x00000028</v>
      </c>
      <c r="E61" s="55" t="s">
        <v>681</v>
      </c>
    </row>
    <row r="62" spans="1:5">
      <c r="A62" s="98" t="str">
        <f>IF(OR('Register Configuration'!$C$19=16,'Register Configuration'!$C$19=32),"#","")&amp;"mem set "</f>
        <v xml:space="preserve">mem set </v>
      </c>
      <c r="B62" s="98" t="str">
        <f>IF('Register Configuration'!$D$18="Arik","0x020e07a0 ","0x020e0780 ")</f>
        <v xml:space="preserve">0x020e07a0 </v>
      </c>
      <c r="C62" s="91">
        <v>32</v>
      </c>
      <c r="D62" s="62" t="str">
        <f>"0x"&amp;'Register Configuration'!$C$166</f>
        <v>0x00000028</v>
      </c>
      <c r="E62" s="55" t="s">
        <v>682</v>
      </c>
    </row>
    <row r="63" spans="1:5">
      <c r="A63" s="98" t="str">
        <f>IF(OR('Register Configuration'!$C$19=16,'Register Configuration'!$C$19=32),"#","")&amp;"mem set "</f>
        <v xml:space="preserve">mem set </v>
      </c>
      <c r="B63" s="98" t="str">
        <f>IF('Register Configuration'!$D$18="Arik","0x020e07a4 ","0x020e0784 ")</f>
        <v xml:space="preserve">0x020e07a4 </v>
      </c>
      <c r="C63" s="91">
        <v>32</v>
      </c>
      <c r="D63" s="62" t="str">
        <f>"0x"&amp;'Register Configuration'!$C$171</f>
        <v>0x00000028</v>
      </c>
      <c r="E63" s="55" t="s">
        <v>683</v>
      </c>
    </row>
    <row r="64" spans="1:5">
      <c r="A64" s="98" t="str">
        <f>IF(OR('Register Configuration'!$C$19=16,'Register Configuration'!$C$19=32),"#","")&amp;"mem set "</f>
        <v xml:space="preserve">mem set </v>
      </c>
      <c r="B64" s="98" t="str">
        <f>IF('Register Configuration'!$D$18="Arik","0x020e07a8 ","0x020e078c ")</f>
        <v xml:space="preserve">0x020e07a8 </v>
      </c>
      <c r="C64" s="91">
        <v>32</v>
      </c>
      <c r="D64" s="62" t="str">
        <f>"0x"&amp;'Register Configuration'!$C$176</f>
        <v>0x00000028</v>
      </c>
      <c r="E64" s="55" t="s">
        <v>684</v>
      </c>
    </row>
    <row r="65" spans="1:5">
      <c r="A65" s="98" t="str">
        <f>IF(OR('Register Configuration'!$C$19=16,'Register Configuration'!$C$19=32),"#","")&amp;"mem set "</f>
        <v xml:space="preserve">mem set </v>
      </c>
      <c r="B65" s="98" t="s">
        <v>579</v>
      </c>
      <c r="C65" s="91">
        <v>32</v>
      </c>
      <c r="D65" s="62" t="str">
        <f>"0x"&amp;'Register Configuration'!$C$181</f>
        <v>0x00000028</v>
      </c>
      <c r="E65" s="55" t="s">
        <v>685</v>
      </c>
    </row>
    <row r="67" spans="1:5">
      <c r="A67" s="98" t="s">
        <v>619</v>
      </c>
      <c r="B67" s="98" t="str">
        <f>IF('Register Configuration'!$D$18="Arik","0x020e05ac ","0x020e0470 ")</f>
        <v xml:space="preserve">0x020e05ac </v>
      </c>
      <c r="C67" s="91">
        <v>32</v>
      </c>
      <c r="D67" s="62" t="str">
        <f>"0x"&amp;'Register Configuration'!$C$186</f>
        <v>0x00000028</v>
      </c>
      <c r="E67" s="56" t="s">
        <v>686</v>
      </c>
    </row>
    <row r="68" spans="1:5">
      <c r="A68" s="98" t="s">
        <v>619</v>
      </c>
      <c r="B68" s="98" t="str">
        <f>IF('Register Configuration'!$D$18="Arik","0x020e05b4 ","0x020e0474 ")</f>
        <v xml:space="preserve">0x020e05b4 </v>
      </c>
      <c r="C68" s="91">
        <v>32</v>
      </c>
      <c r="D68" s="62" t="str">
        <f>"0x"&amp;'Register Configuration'!$C$191</f>
        <v>0x00000028</v>
      </c>
      <c r="E68" s="55" t="s">
        <v>687</v>
      </c>
    </row>
    <row r="69" spans="1:5">
      <c r="A69" s="98" t="str">
        <f>IF('Register Configuration'!$C$19=16,"#","")&amp;"mem set "</f>
        <v xml:space="preserve">mem set </v>
      </c>
      <c r="B69" s="98" t="str">
        <f>IF('Register Configuration'!$D$18="Arik","0x020e0528 ","0x020e0478 ")</f>
        <v xml:space="preserve">0x020e0528 </v>
      </c>
      <c r="C69" s="91">
        <v>32</v>
      </c>
      <c r="D69" s="62" t="str">
        <f>"0x"&amp;'Register Configuration'!$C$196</f>
        <v>0x00000028</v>
      </c>
      <c r="E69" s="55" t="s">
        <v>688</v>
      </c>
    </row>
    <row r="70" spans="1:5">
      <c r="A70" s="99" t="str">
        <f>IF('Register Configuration'!$C$19=16,"#","")&amp;"mem set "</f>
        <v xml:space="preserve">mem set </v>
      </c>
      <c r="B70" s="98" t="str">
        <f>IF('Register Configuration'!$D$18="Arik","0x020e0520 ","0x020e047c ")</f>
        <v xml:space="preserve">0x020e0520 </v>
      </c>
      <c r="C70" s="91">
        <v>32</v>
      </c>
      <c r="D70" s="62" t="str">
        <f>"0x"&amp;'Register Configuration'!$C$201</f>
        <v>0x00000028</v>
      </c>
      <c r="E70" s="55" t="s">
        <v>689</v>
      </c>
    </row>
    <row r="71" spans="1:5">
      <c r="A71" s="98" t="str">
        <f>IF(OR('Register Configuration'!$C$19=16,'Register Configuration'!$C$19=32),"#","")&amp;"mem set "</f>
        <v xml:space="preserve">mem set </v>
      </c>
      <c r="B71" s="98" t="str">
        <f>IF('Register Configuration'!$D$18="Arik","0x020e0514 ","0x020e0480 ")</f>
        <v xml:space="preserve">0x020e0514 </v>
      </c>
      <c r="C71" s="91">
        <v>32</v>
      </c>
      <c r="D71" s="62" t="str">
        <f>"0x"&amp;'Register Configuration'!$C$206</f>
        <v>0x00000028</v>
      </c>
      <c r="E71" s="55" t="s">
        <v>690</v>
      </c>
    </row>
    <row r="72" spans="1:5">
      <c r="A72" s="98" t="str">
        <f>IF(OR('Register Configuration'!$C$19=16,'Register Configuration'!$C$19=32),"#","")&amp;"mem set "</f>
        <v xml:space="preserve">mem set </v>
      </c>
      <c r="B72" s="98" t="str">
        <f>IF('Register Configuration'!$D$18="Arik","0x020e0510 ","0x020e0484 ")</f>
        <v xml:space="preserve">0x020e0510 </v>
      </c>
      <c r="C72" s="91">
        <v>32</v>
      </c>
      <c r="D72" s="62" t="str">
        <f>"0x"&amp;'Register Configuration'!$C$211</f>
        <v>0x00000028</v>
      </c>
      <c r="E72" s="55" t="s">
        <v>691</v>
      </c>
    </row>
    <row r="73" spans="1:5">
      <c r="A73" s="98" t="str">
        <f>IF(OR('Register Configuration'!$C$19=16,'Register Configuration'!$C$19=32),"#","")&amp;"mem set "</f>
        <v xml:space="preserve">mem set </v>
      </c>
      <c r="B73" s="98" t="str">
        <f>IF('Register Configuration'!$D$18="Arik","0x020e05bc ","0x020e0488 ")</f>
        <v xml:space="preserve">0x020e05bc </v>
      </c>
      <c r="C73" s="91">
        <v>32</v>
      </c>
      <c r="D73" s="62" t="str">
        <f>"0x"&amp;'Register Configuration'!$C$216</f>
        <v>0x00000028</v>
      </c>
      <c r="E73" s="55" t="s">
        <v>692</v>
      </c>
    </row>
    <row r="74" spans="1:5">
      <c r="A74" s="98" t="str">
        <f>IF(OR('Register Configuration'!$C$19=16,'Register Configuration'!$C$19=32),"#","")&amp;"mem set "</f>
        <v xml:space="preserve">mem set </v>
      </c>
      <c r="B74" s="98" t="str">
        <f>IF('Register Configuration'!$D$18="Arik","0x020e05c4 ","0x020e048c ")</f>
        <v xml:space="preserve">0x020e05c4 </v>
      </c>
      <c r="C74" s="91">
        <v>32</v>
      </c>
      <c r="D74" s="62" t="str">
        <f>"0x"&amp;'Register Configuration'!$C$221</f>
        <v>0x00000028</v>
      </c>
      <c r="E74" s="55" t="s">
        <v>693</v>
      </c>
    </row>
    <row r="77" spans="1:5">
      <c r="A77" s="98" t="s">
        <v>620</v>
      </c>
    </row>
    <row r="78" spans="1:5">
      <c r="A78" s="98" t="s">
        <v>630</v>
      </c>
    </row>
    <row r="79" spans="1:5">
      <c r="A79" s="98" t="s">
        <v>620</v>
      </c>
    </row>
    <row r="80" spans="1:5">
      <c r="A80" s="99" t="s">
        <v>631</v>
      </c>
      <c r="B80" s="101" t="str">
        <f>'Register Configuration'!C3</f>
        <v>Micron</v>
      </c>
      <c r="C80" s="93"/>
      <c r="D80" s="102"/>
      <c r="E80" s="59"/>
    </row>
    <row r="81" spans="1:5">
      <c r="A81" s="99" t="s">
        <v>632</v>
      </c>
      <c r="B81" s="103" t="str">
        <f>'Register Configuration'!C4</f>
        <v>MT41K512M16HA-107</v>
      </c>
      <c r="C81" s="94"/>
      <c r="D81" s="104"/>
      <c r="E81" s="59"/>
    </row>
    <row r="82" spans="1:5">
      <c r="A82" s="99" t="s">
        <v>633</v>
      </c>
      <c r="B82" s="62" t="str">
        <f>'Register Configuration'!C23&amp;"MHz"</f>
        <v>528MHz</v>
      </c>
      <c r="C82" s="95"/>
      <c r="D82" s="102"/>
      <c r="E82" s="59"/>
    </row>
    <row r="83" spans="1:5">
      <c r="A83" s="99" t="s">
        <v>634</v>
      </c>
      <c r="B83" s="62">
        <f>'Register Configuration'!C20</f>
        <v>32</v>
      </c>
      <c r="C83" s="95"/>
    </row>
    <row r="84" spans="1:5">
      <c r="A84" s="99" t="s">
        <v>635</v>
      </c>
      <c r="B84" s="62">
        <f>'Register Configuration'!C21</f>
        <v>1</v>
      </c>
      <c r="C84" s="95"/>
      <c r="D84" s="102"/>
      <c r="E84" s="59"/>
    </row>
    <row r="85" spans="1:5">
      <c r="A85" s="99" t="s">
        <v>636</v>
      </c>
      <c r="B85" s="62">
        <f>'Register Configuration'!C8</f>
        <v>8</v>
      </c>
      <c r="C85" s="95"/>
    </row>
    <row r="86" spans="1:5">
      <c r="A86" s="98" t="s">
        <v>637</v>
      </c>
      <c r="B86" s="62">
        <f>'Register Configuration'!C9</f>
        <v>16</v>
      </c>
      <c r="C86" s="95"/>
    </row>
    <row r="87" spans="1:5">
      <c r="A87" s="98" t="s">
        <v>638</v>
      </c>
      <c r="B87" s="62">
        <f>'Register Configuration'!C10</f>
        <v>10</v>
      </c>
      <c r="C87" s="95"/>
    </row>
    <row r="88" spans="1:5">
      <c r="A88" s="99" t="s">
        <v>639</v>
      </c>
      <c r="B88" s="62">
        <f>'Register Configuration'!C19</f>
        <v>64</v>
      </c>
      <c r="C88" s="95"/>
    </row>
    <row r="89" spans="1:5">
      <c r="A89" s="98" t="s">
        <v>620</v>
      </c>
    </row>
    <row r="90" spans="1:5">
      <c r="A90" s="98" t="s">
        <v>619</v>
      </c>
      <c r="B90" s="98" t="s">
        <v>580</v>
      </c>
      <c r="C90" s="91">
        <v>32</v>
      </c>
      <c r="D90" s="62" t="str">
        <f>"0x"&amp;'Register Configuration'!$C$333</f>
        <v>0x00008000</v>
      </c>
      <c r="E90" s="56" t="s">
        <v>743</v>
      </c>
    </row>
    <row r="91" spans="1:5">
      <c r="B91" s="100"/>
      <c r="C91" s="96"/>
      <c r="E91" s="56"/>
    </row>
    <row r="92" spans="1:5">
      <c r="A92" s="98" t="s">
        <v>620</v>
      </c>
    </row>
    <row r="93" spans="1:5">
      <c r="A93" s="98" t="s">
        <v>640</v>
      </c>
    </row>
    <row r="94" spans="1:5">
      <c r="A94" s="98" t="s">
        <v>620</v>
      </c>
    </row>
    <row r="95" spans="1:5">
      <c r="A95" s="98" t="s">
        <v>619</v>
      </c>
      <c r="B95" s="98" t="s">
        <v>581</v>
      </c>
      <c r="C95" s="91">
        <v>32</v>
      </c>
      <c r="D95" s="62" t="str">
        <f>"0x"&amp;'Register Configuration'!$C$226</f>
        <v>0xA1390003</v>
      </c>
      <c r="E95" s="55" t="s">
        <v>694</v>
      </c>
    </row>
    <row r="97" spans="1:5">
      <c r="A97" s="98" t="s">
        <v>641</v>
      </c>
    </row>
    <row r="98" spans="1:5">
      <c r="A98" s="98" t="s">
        <v>619</v>
      </c>
      <c r="B98" s="98" t="s">
        <v>582</v>
      </c>
      <c r="C98" s="91">
        <v>32</v>
      </c>
      <c r="D98" s="105" t="str">
        <f>"0x"&amp;'Register Configuration'!$C$231</f>
        <v>0x00000000</v>
      </c>
    </row>
    <row r="99" spans="1:5">
      <c r="A99" s="99" t="str">
        <f>IF('Register Configuration'!$C$19=16,"#","")&amp;"mem set "</f>
        <v xml:space="preserve">mem set </v>
      </c>
      <c r="B99" s="98" t="s">
        <v>583</v>
      </c>
      <c r="C99" s="91">
        <v>32</v>
      </c>
      <c r="D99" s="105" t="str">
        <f>"0x"&amp;'Register Configuration'!$C$237</f>
        <v>0x00000000</v>
      </c>
      <c r="E99" s="56"/>
    </row>
    <row r="100" spans="1:5">
      <c r="A100" s="98" t="str">
        <f>IF(OR('Register Configuration'!$C$19=16,'Register Configuration'!$C$19=32),"#","")&amp;"mem set "</f>
        <v xml:space="preserve">mem set </v>
      </c>
      <c r="B100" s="98" t="s">
        <v>584</v>
      </c>
      <c r="C100" s="91">
        <v>32</v>
      </c>
      <c r="D100" s="105" t="str">
        <f>"0x"&amp;'Register Configuration'!$C$232</f>
        <v>0x00000000</v>
      </c>
      <c r="E100" s="56"/>
    </row>
    <row r="101" spans="1:5">
      <c r="A101" s="98" t="str">
        <f>IF(OR('Register Configuration'!$C$19=16,'Register Configuration'!$C$19=32),"#","")&amp;"mem set "</f>
        <v xml:space="preserve">mem set </v>
      </c>
      <c r="B101" s="98" t="s">
        <v>585</v>
      </c>
      <c r="C101" s="91">
        <v>32</v>
      </c>
      <c r="D101" s="105" t="str">
        <f>"0x"&amp;'Register Configuration'!$C$238</f>
        <v>0x00000000</v>
      </c>
    </row>
    <row r="102" spans="1:5">
      <c r="D102" s="102"/>
    </row>
    <row r="103" spans="1:5">
      <c r="A103" s="98" t="s">
        <v>655</v>
      </c>
    </row>
    <row r="104" spans="1:5">
      <c r="A104" s="98" t="s">
        <v>619</v>
      </c>
      <c r="B104" s="98" t="s">
        <v>586</v>
      </c>
      <c r="C104" s="91">
        <v>32</v>
      </c>
      <c r="D104" s="105" t="str">
        <f>"0x"&amp;'Register Configuration'!$C$243</f>
        <v>0x00000000</v>
      </c>
      <c r="E104" s="55" t="s">
        <v>695</v>
      </c>
    </row>
    <row r="105" spans="1:5">
      <c r="A105" s="99" t="str">
        <f>IF('Register Configuration'!$C$19=16,"#","")&amp;"mem set "</f>
        <v xml:space="preserve">mem set </v>
      </c>
      <c r="B105" s="98" t="s">
        <v>587</v>
      </c>
      <c r="C105" s="91">
        <v>32</v>
      </c>
      <c r="D105" s="105" t="str">
        <f>"0x"&amp;'Register Configuration'!$C$249</f>
        <v>0x00000000</v>
      </c>
      <c r="E105" s="55" t="s">
        <v>696</v>
      </c>
    </row>
    <row r="106" spans="1:5">
      <c r="A106" s="98" t="str">
        <f>IF(OR('Register Configuration'!$C$19=16,'Register Configuration'!$C$19=32),"#","")&amp;"mem set "</f>
        <v xml:space="preserve">mem set </v>
      </c>
      <c r="B106" s="98" t="s">
        <v>588</v>
      </c>
      <c r="C106" s="91">
        <v>32</v>
      </c>
      <c r="D106" s="105" t="str">
        <f>"0x"&amp;'Register Configuration'!$C$244</f>
        <v>0x00000000</v>
      </c>
      <c r="E106" s="55" t="s">
        <v>697</v>
      </c>
    </row>
    <row r="107" spans="1:5">
      <c r="A107" s="98" t="str">
        <f>IF(OR('Register Configuration'!$C$19=16,'Register Configuration'!$C$19=32),"#","")&amp;"mem set "</f>
        <v xml:space="preserve">mem set </v>
      </c>
      <c r="B107" s="98" t="s">
        <v>589</v>
      </c>
      <c r="C107" s="91">
        <v>32</v>
      </c>
      <c r="D107" s="105" t="str">
        <f>"0x"&amp;'Register Configuration'!$C$250</f>
        <v>0x00000000</v>
      </c>
      <c r="E107" s="55" t="s">
        <v>698</v>
      </c>
    </row>
    <row r="108" spans="1:5">
      <c r="D108" s="102"/>
    </row>
    <row r="109" spans="1:5">
      <c r="A109" s="98" t="s">
        <v>642</v>
      </c>
      <c r="D109" s="102"/>
    </row>
    <row r="110" spans="1:5">
      <c r="A110" s="98" t="s">
        <v>619</v>
      </c>
      <c r="B110" s="98" t="s">
        <v>590</v>
      </c>
      <c r="C110" s="91">
        <v>32</v>
      </c>
      <c r="D110" s="105" t="str">
        <f>"0x"&amp;'Register Configuration'!$C$255</f>
        <v>0x40404040</v>
      </c>
      <c r="E110" s="63" t="s">
        <v>699</v>
      </c>
    </row>
    <row r="111" spans="1:5">
      <c r="A111" s="98" t="str">
        <f>IF(OR('Register Configuration'!$C$19=16,'Register Configuration'!$C$19=32),"#","")&amp;"mem set "</f>
        <v xml:space="preserve">mem set </v>
      </c>
      <c r="B111" s="98" t="s">
        <v>591</v>
      </c>
      <c r="C111" s="91">
        <v>32</v>
      </c>
      <c r="D111" s="105" t="str">
        <f>"0x"&amp;'Register Configuration'!$C$256</f>
        <v>0x40404040</v>
      </c>
      <c r="E111" s="56" t="s">
        <v>700</v>
      </c>
    </row>
    <row r="112" spans="1:5">
      <c r="D112" s="102"/>
    </row>
    <row r="113" spans="1:5">
      <c r="A113" s="98" t="s">
        <v>643</v>
      </c>
      <c r="D113" s="102"/>
    </row>
    <row r="114" spans="1:5">
      <c r="A114" s="98" t="s">
        <v>619</v>
      </c>
      <c r="B114" s="98" t="s">
        <v>592</v>
      </c>
      <c r="C114" s="91">
        <v>32</v>
      </c>
      <c r="D114" s="105" t="str">
        <f>"0x"&amp;'Register Configuration'!$C$261</f>
        <v>0x40404040</v>
      </c>
      <c r="E114" s="56" t="s">
        <v>701</v>
      </c>
    </row>
    <row r="115" spans="1:5">
      <c r="A115" s="98" t="str">
        <f>IF(OR('Register Configuration'!$C$19=16,'Register Configuration'!$C$19=32),"#","")&amp;"mem set "</f>
        <v xml:space="preserve">mem set </v>
      </c>
      <c r="B115" s="98" t="s">
        <v>593</v>
      </c>
      <c r="C115" s="91">
        <v>32</v>
      </c>
      <c r="D115" s="105" t="str">
        <f>"0x"&amp;'Register Configuration'!$C$262</f>
        <v>0x40404040</v>
      </c>
      <c r="E115" s="56" t="s">
        <v>702</v>
      </c>
    </row>
    <row r="116" spans="1:5">
      <c r="D116" s="102"/>
    </row>
    <row r="117" spans="1:5">
      <c r="A117" s="98" t="s">
        <v>644</v>
      </c>
    </row>
    <row r="118" spans="1:5">
      <c r="A118" s="98" t="s">
        <v>619</v>
      </c>
      <c r="B118" s="98" t="s">
        <v>594</v>
      </c>
      <c r="C118" s="91">
        <v>32</v>
      </c>
      <c r="D118" s="62" t="str">
        <f>"0x"&amp;'Register Configuration'!$C$267</f>
        <v>0x33333333</v>
      </c>
      <c r="E118" s="55" t="s">
        <v>703</v>
      </c>
    </row>
    <row r="119" spans="1:5">
      <c r="A119" s="98" t="s">
        <v>619</v>
      </c>
      <c r="B119" s="98" t="s">
        <v>595</v>
      </c>
      <c r="C119" s="91">
        <v>32</v>
      </c>
      <c r="D119" s="62" t="str">
        <f>"0x"&amp;'Register Configuration'!$C$273</f>
        <v>0x33333333</v>
      </c>
      <c r="E119" s="56" t="s">
        <v>704</v>
      </c>
    </row>
    <row r="120" spans="1:5">
      <c r="A120" s="98" t="str">
        <f>IF('Register Configuration'!$C$19=16,"#","")&amp;"mem set "</f>
        <v xml:space="preserve">mem set </v>
      </c>
      <c r="B120" s="98" t="s">
        <v>596</v>
      </c>
      <c r="C120" s="91">
        <v>32</v>
      </c>
      <c r="D120" s="62" t="str">
        <f>"0x"&amp;'Register Configuration'!$C$279</f>
        <v>0x33333333</v>
      </c>
      <c r="E120" s="56" t="s">
        <v>705</v>
      </c>
    </row>
    <row r="121" spans="1:5">
      <c r="A121" s="99" t="str">
        <f>IF('Register Configuration'!$C$19=16,"#","")&amp;"mem set "</f>
        <v xml:space="preserve">mem set </v>
      </c>
      <c r="B121" s="98" t="s">
        <v>597</v>
      </c>
      <c r="C121" s="91">
        <v>32</v>
      </c>
      <c r="D121" s="62" t="str">
        <f>"0x"&amp;'Register Configuration'!$C$285</f>
        <v>0x33333333</v>
      </c>
      <c r="E121" s="55" t="s">
        <v>706</v>
      </c>
    </row>
    <row r="122" spans="1:5">
      <c r="A122" s="98" t="str">
        <f>IF(OR('Register Configuration'!$C$19=16,'Register Configuration'!$C$19=32),"#","")&amp;"mem set "</f>
        <v xml:space="preserve">mem set </v>
      </c>
      <c r="B122" s="98" t="s">
        <v>598</v>
      </c>
      <c r="C122" s="91">
        <v>32</v>
      </c>
      <c r="D122" s="62" t="str">
        <f>"0x"&amp;'Register Configuration'!$C$268</f>
        <v>0x33333333</v>
      </c>
      <c r="E122" s="55" t="s">
        <v>707</v>
      </c>
    </row>
    <row r="123" spans="1:5">
      <c r="A123" s="98" t="str">
        <f>IF(OR('Register Configuration'!$C$19=16,'Register Configuration'!$C$19=32),"#","")&amp;"mem set "</f>
        <v xml:space="preserve">mem set </v>
      </c>
      <c r="B123" s="98" t="s">
        <v>599</v>
      </c>
      <c r="C123" s="91">
        <v>32</v>
      </c>
      <c r="D123" s="62" t="str">
        <f>"0x"&amp;'Register Configuration'!$C$274</f>
        <v>0x33333333</v>
      </c>
      <c r="E123" s="55" t="s">
        <v>708</v>
      </c>
    </row>
    <row r="124" spans="1:5">
      <c r="A124" s="98" t="str">
        <f>IF(OR('Register Configuration'!$C$19=16,'Register Configuration'!$C$19=32),"#","")&amp;"mem set "</f>
        <v xml:space="preserve">mem set </v>
      </c>
      <c r="B124" s="98" t="s">
        <v>600</v>
      </c>
      <c r="C124" s="91">
        <v>32</v>
      </c>
      <c r="D124" s="62" t="str">
        <f>"0x"&amp;'Register Configuration'!$C$280</f>
        <v>0x33333333</v>
      </c>
      <c r="E124" s="55" t="s">
        <v>709</v>
      </c>
    </row>
    <row r="125" spans="1:5">
      <c r="A125" s="98" t="str">
        <f>IF(OR('Register Configuration'!$C$19=16,'Register Configuration'!$C$19=32),"#","")&amp;"mem set "</f>
        <v xml:space="preserve">mem set </v>
      </c>
      <c r="B125" s="98" t="s">
        <v>601</v>
      </c>
      <c r="C125" s="91">
        <v>32</v>
      </c>
      <c r="D125" s="62" t="str">
        <f>"0x"&amp;'Register Configuration'!$C$286</f>
        <v>0x33333333</v>
      </c>
      <c r="E125" s="55" t="s">
        <v>710</v>
      </c>
    </row>
    <row r="126" spans="1:5">
      <c r="D126" s="102"/>
    </row>
    <row r="127" spans="1:5">
      <c r="A127" s="98" t="s">
        <v>645</v>
      </c>
      <c r="D127" s="102"/>
    </row>
    <row r="128" spans="1:5">
      <c r="A128" s="98" t="s">
        <v>646</v>
      </c>
      <c r="B128" s="98" t="s">
        <v>602</v>
      </c>
      <c r="C128" s="91">
        <v>32</v>
      </c>
      <c r="D128" s="62" t="str">
        <f>"0x"&amp;'Register Configuration'!$C$291</f>
        <v>0x24911492</v>
      </c>
      <c r="E128" s="55" t="s">
        <v>711</v>
      </c>
    </row>
    <row r="129" spans="1:5">
      <c r="A129" s="98" t="s">
        <v>646</v>
      </c>
      <c r="B129" s="98" t="s">
        <v>603</v>
      </c>
      <c r="C129" s="91">
        <v>32</v>
      </c>
      <c r="D129" s="62" t="str">
        <f>"0x"&amp;'Register Configuration'!$C$292</f>
        <v>0x24911492</v>
      </c>
    </row>
    <row r="130" spans="1:5">
      <c r="D130" s="102"/>
    </row>
    <row r="131" spans="1:5">
      <c r="A131" s="100" t="s">
        <v>647</v>
      </c>
      <c r="D131" s="102"/>
    </row>
    <row r="132" spans="1:5">
      <c r="A132" s="98" t="s">
        <v>619</v>
      </c>
      <c r="B132" s="98" t="s">
        <v>567</v>
      </c>
      <c r="C132" s="91">
        <v>32</v>
      </c>
      <c r="D132" s="62" t="str">
        <f>"0x"&amp;'Register Configuration'!$C$297</f>
        <v>0x00000800</v>
      </c>
      <c r="E132" s="10" t="s">
        <v>712</v>
      </c>
    </row>
    <row r="133" spans="1:5">
      <c r="A133" s="98" t="str">
        <f>IF(OR('Register Configuration'!$C$19=16,'Register Configuration'!$C$19=32),"#","")&amp;"mem set "</f>
        <v xml:space="preserve">mem set </v>
      </c>
      <c r="B133" s="98" t="s">
        <v>568</v>
      </c>
      <c r="C133" s="91">
        <v>32</v>
      </c>
      <c r="D133" s="62" t="str">
        <f>"0x"&amp;'Register Configuration'!$C$298</f>
        <v>0x00000800</v>
      </c>
      <c r="E133" s="10" t="s">
        <v>712</v>
      </c>
    </row>
    <row r="134" spans="1:5">
      <c r="A134" s="98" t="s">
        <v>620</v>
      </c>
    </row>
    <row r="135" spans="1:5">
      <c r="A135" s="98" t="s">
        <v>648</v>
      </c>
    </row>
    <row r="136" spans="1:5">
      <c r="A136" s="98" t="s">
        <v>620</v>
      </c>
    </row>
    <row r="137" spans="1:5">
      <c r="D137" s="102"/>
    </row>
    <row r="138" spans="1:5">
      <c r="A138" s="99" t="s">
        <v>649</v>
      </c>
      <c r="D138" s="102"/>
    </row>
    <row r="139" spans="1:5">
      <c r="A139" s="98" t="s">
        <v>619</v>
      </c>
      <c r="B139" s="98" t="s">
        <v>604</v>
      </c>
      <c r="C139" s="91">
        <v>32</v>
      </c>
      <c r="D139" s="62" t="str">
        <f>"0x"&amp;'Register Configuration'!$C$303</f>
        <v>0x00020036</v>
      </c>
      <c r="E139" s="55" t="s">
        <v>713</v>
      </c>
    </row>
    <row r="140" spans="1:5">
      <c r="A140" s="98" t="s">
        <v>619</v>
      </c>
      <c r="B140" s="100" t="s">
        <v>605</v>
      </c>
      <c r="C140" s="91">
        <v>32</v>
      </c>
      <c r="D140" s="62" t="str">
        <f>"0x"&amp;'Register Configuration'!$C$308</f>
        <v>0x24444040</v>
      </c>
      <c r="E140" s="10" t="s">
        <v>714</v>
      </c>
    </row>
    <row r="141" spans="1:5">
      <c r="A141" s="98" t="s">
        <v>619</v>
      </c>
      <c r="B141" s="98" t="s">
        <v>606</v>
      </c>
      <c r="C141" s="91">
        <v>32</v>
      </c>
      <c r="D141" s="62" t="str">
        <f>"0x"&amp;'Register Configuration'!$C$313</f>
        <v>0xB8BE7955</v>
      </c>
      <c r="E141" s="55" t="s">
        <v>715</v>
      </c>
    </row>
    <row r="142" spans="1:5">
      <c r="A142" s="98" t="s">
        <v>619</v>
      </c>
      <c r="B142" s="98" t="s">
        <v>607</v>
      </c>
      <c r="C142" s="91">
        <v>32</v>
      </c>
      <c r="D142" s="62" t="str">
        <f>"0x"&amp;'Register Configuration'!$C$318</f>
        <v>0xFF328F64</v>
      </c>
      <c r="E142" s="55" t="s">
        <v>716</v>
      </c>
    </row>
    <row r="143" spans="1:5">
      <c r="A143" s="98" t="s">
        <v>619</v>
      </c>
      <c r="B143" s="98" t="s">
        <v>608</v>
      </c>
      <c r="C143" s="91">
        <v>32</v>
      </c>
      <c r="D143" s="62" t="str">
        <f>"0x"&amp;'Register Configuration'!$C$323</f>
        <v>0x01FF00DB</v>
      </c>
      <c r="E143" s="55" t="s">
        <v>717</v>
      </c>
    </row>
    <row r="144" spans="1:5">
      <c r="D144" s="102"/>
    </row>
    <row r="145" spans="1:5">
      <c r="A145" s="98" t="s">
        <v>650</v>
      </c>
      <c r="D145" s="102"/>
    </row>
    <row r="146" spans="1:5">
      <c r="A146" s="98" t="s">
        <v>651</v>
      </c>
      <c r="D146" s="102"/>
    </row>
    <row r="147" spans="1:5">
      <c r="A147" s="98" t="s">
        <v>652</v>
      </c>
      <c r="D147" s="102"/>
    </row>
    <row r="148" spans="1:5">
      <c r="A148" s="98" t="s">
        <v>653</v>
      </c>
      <c r="D148" s="102"/>
    </row>
    <row r="149" spans="1:5">
      <c r="A149" s="98" t="s">
        <v>619</v>
      </c>
      <c r="B149" s="98" t="s">
        <v>609</v>
      </c>
      <c r="C149" s="91">
        <v>32</v>
      </c>
      <c r="D149" s="62" t="str">
        <f>"0x"&amp;'Register Configuration'!$C$328</f>
        <v>0x00011740</v>
      </c>
      <c r="E149" s="56" t="s">
        <v>718</v>
      </c>
    </row>
    <row r="150" spans="1:5">
      <c r="A150" s="98" t="s">
        <v>619</v>
      </c>
      <c r="B150" s="98" t="s">
        <v>580</v>
      </c>
      <c r="C150" s="91">
        <v>32</v>
      </c>
      <c r="D150" s="62" t="str">
        <f>"0x"&amp;'Register Configuration'!$C$333</f>
        <v>0x00008000</v>
      </c>
      <c r="E150" s="56" t="s">
        <v>743</v>
      </c>
    </row>
    <row r="151" spans="1:5">
      <c r="A151" s="98" t="s">
        <v>619</v>
      </c>
      <c r="B151" s="98" t="s">
        <v>610</v>
      </c>
      <c r="C151" s="91">
        <v>32</v>
      </c>
      <c r="D151" s="62" t="str">
        <f>"0x"&amp;'Register Configuration'!$C$338</f>
        <v>0x000026D2</v>
      </c>
      <c r="E151" s="56" t="s">
        <v>719</v>
      </c>
    </row>
    <row r="152" spans="1:5">
      <c r="A152" s="98" t="s">
        <v>619</v>
      </c>
      <c r="B152" s="98" t="s">
        <v>611</v>
      </c>
      <c r="C152" s="91">
        <v>32</v>
      </c>
      <c r="D152" s="62" t="str">
        <f>"0x"&amp;'Register Configuration'!$C$343</f>
        <v>0x00BE1023</v>
      </c>
      <c r="E152" s="56" t="s">
        <v>720</v>
      </c>
    </row>
    <row r="153" spans="1:5">
      <c r="A153" s="98" t="s">
        <v>619</v>
      </c>
      <c r="B153" s="98" t="s">
        <v>612</v>
      </c>
      <c r="C153" s="91">
        <v>32</v>
      </c>
      <c r="D153" s="62" t="str">
        <f>"0x"&amp;'Register Configuration'!$C$348</f>
        <v>0x0000007F</v>
      </c>
      <c r="E153" s="56" t="s">
        <v>721</v>
      </c>
    </row>
    <row r="154" spans="1:5">
      <c r="A154" s="98" t="s">
        <v>619</v>
      </c>
      <c r="B154" s="99" t="s">
        <v>613</v>
      </c>
      <c r="C154" s="91">
        <v>32</v>
      </c>
      <c r="D154" s="62" t="str">
        <f>"0x"&amp;'Register Configuration'!$C$353</f>
        <v>0x851A0000</v>
      </c>
      <c r="E154" s="56" t="s">
        <v>722</v>
      </c>
    </row>
    <row r="155" spans="1:5">
      <c r="D155" s="102"/>
    </row>
    <row r="156" spans="1:5">
      <c r="A156" s="100" t="s">
        <v>654</v>
      </c>
      <c r="D156" s="102"/>
      <c r="E156" s="56"/>
    </row>
    <row r="157" spans="1:5">
      <c r="A157" s="98" t="s">
        <v>619</v>
      </c>
      <c r="B157" s="98" t="s">
        <v>580</v>
      </c>
      <c r="C157" s="91">
        <v>32</v>
      </c>
      <c r="D157" s="62" t="str">
        <f>"0x"&amp;'Register Configuration'!$C$358</f>
        <v>0x02888032</v>
      </c>
      <c r="E157" s="56" t="s">
        <v>723</v>
      </c>
    </row>
    <row r="158" spans="1:5">
      <c r="A158" s="98" t="s">
        <v>619</v>
      </c>
      <c r="B158" s="98" t="s">
        <v>580</v>
      </c>
      <c r="C158" s="91">
        <v>32</v>
      </c>
      <c r="D158" s="62" t="str">
        <f>"0x"&amp;'Register Configuration'!$C$359</f>
        <v>0x00008033</v>
      </c>
      <c r="E158" s="56" t="s">
        <v>724</v>
      </c>
    </row>
    <row r="159" spans="1:5">
      <c r="A159" s="98" t="s">
        <v>619</v>
      </c>
      <c r="B159" s="98" t="s">
        <v>580</v>
      </c>
      <c r="C159" s="91">
        <v>32</v>
      </c>
      <c r="D159" s="62" t="str">
        <f>"0x"&amp;'Register Configuration'!$C$360</f>
        <v>0x00048031</v>
      </c>
      <c r="E159" s="56" t="s">
        <v>725</v>
      </c>
    </row>
    <row r="160" spans="1:5">
      <c r="A160" s="98" t="s">
        <v>619</v>
      </c>
      <c r="B160" s="98" t="s">
        <v>580</v>
      </c>
      <c r="C160" s="91">
        <v>32</v>
      </c>
      <c r="D160" s="62" t="str">
        <f>"0x"&amp;'Register Configuration'!$C$361</f>
        <v>0x19408030</v>
      </c>
      <c r="E160" s="56" t="s">
        <v>726</v>
      </c>
    </row>
    <row r="161" spans="1:5">
      <c r="A161" s="98" t="s">
        <v>619</v>
      </c>
      <c r="B161" s="98" t="s">
        <v>580</v>
      </c>
      <c r="C161" s="91">
        <v>32</v>
      </c>
      <c r="D161" s="62" t="str">
        <f>"0x"&amp;'Register Configuration'!$C$362</f>
        <v>0x04008040</v>
      </c>
      <c r="E161" s="56" t="s">
        <v>727</v>
      </c>
    </row>
    <row r="162" spans="1:5">
      <c r="D162" s="102"/>
      <c r="E162" s="56"/>
    </row>
    <row r="163" spans="1:5">
      <c r="A163" s="98" t="str">
        <f>IF('Register Configuration'!$C$21=1,"#","")&amp;"mem set "</f>
        <v xml:space="preserve">#mem set </v>
      </c>
      <c r="B163" s="98" t="s">
        <v>580</v>
      </c>
      <c r="C163" s="91">
        <v>32</v>
      </c>
      <c r="D163" s="62" t="str">
        <f>"0x"&amp;'Register Configuration'!$C$363</f>
        <v>0x0288803A</v>
      </c>
      <c r="E163" s="56" t="s">
        <v>728</v>
      </c>
    </row>
    <row r="164" spans="1:5">
      <c r="A164" s="98" t="str">
        <f>IF('Register Configuration'!$C$21=1,"#","")&amp;"mem set "</f>
        <v xml:space="preserve">#mem set </v>
      </c>
      <c r="B164" s="98" t="s">
        <v>580</v>
      </c>
      <c r="C164" s="91">
        <v>32</v>
      </c>
      <c r="D164" s="62" t="str">
        <f>"0x"&amp;'Register Configuration'!$C$364</f>
        <v>0x0000803B</v>
      </c>
      <c r="E164" s="56" t="s">
        <v>729</v>
      </c>
    </row>
    <row r="165" spans="1:5">
      <c r="A165" s="98" t="str">
        <f>IF('Register Configuration'!$C$21=1,"#","")&amp;"mem set "</f>
        <v xml:space="preserve">#mem set </v>
      </c>
      <c r="B165" s="98" t="s">
        <v>580</v>
      </c>
      <c r="C165" s="91">
        <v>32</v>
      </c>
      <c r="D165" s="62" t="str">
        <f>"0x"&amp;'Register Configuration'!$C$365</f>
        <v>0x00048039</v>
      </c>
      <c r="E165" s="56" t="s">
        <v>730</v>
      </c>
    </row>
    <row r="166" spans="1:5">
      <c r="A166" s="98" t="str">
        <f>IF('Register Configuration'!$C$21=1,"#","")&amp;"mem set "</f>
        <v xml:space="preserve">#mem set </v>
      </c>
      <c r="B166" s="98" t="s">
        <v>580</v>
      </c>
      <c r="C166" s="91">
        <v>32</v>
      </c>
      <c r="D166" s="62" t="str">
        <f>"0x"&amp;'Register Configuration'!$C$366</f>
        <v>0x19408038</v>
      </c>
      <c r="E166" s="56" t="s">
        <v>731</v>
      </c>
    </row>
    <row r="167" spans="1:5">
      <c r="A167" s="98" t="str">
        <f>IF('Register Configuration'!$C$21=1,"#","")&amp;"mem set "</f>
        <v xml:space="preserve">#mem set </v>
      </c>
      <c r="B167" s="98" t="s">
        <v>580</v>
      </c>
      <c r="C167" s="91">
        <v>32</v>
      </c>
      <c r="D167" s="62" t="str">
        <f>"0x"&amp;'Register Configuration'!$C$367</f>
        <v>0x04008048</v>
      </c>
      <c r="E167" s="56" t="s">
        <v>732</v>
      </c>
    </row>
    <row r="168" spans="1:5">
      <c r="D168" s="102"/>
      <c r="E168" s="56"/>
    </row>
    <row r="169" spans="1:5">
      <c r="A169" s="98" t="s">
        <v>619</v>
      </c>
      <c r="B169" s="98" t="s">
        <v>614</v>
      </c>
      <c r="C169" s="91">
        <v>32</v>
      </c>
      <c r="D169" s="62" t="str">
        <f>"0x"&amp;'Register Configuration'!$C$372</f>
        <v>0x00007800</v>
      </c>
      <c r="E169" s="56" t="s">
        <v>733</v>
      </c>
    </row>
    <row r="170" spans="1:5">
      <c r="E170" s="56"/>
    </row>
    <row r="171" spans="1:5">
      <c r="A171" s="98" t="s">
        <v>619</v>
      </c>
      <c r="B171" s="98" t="s">
        <v>615</v>
      </c>
      <c r="C171" s="91">
        <v>32</v>
      </c>
      <c r="D171" s="62" t="str">
        <f>"0x"&amp;'Register Configuration'!$C$377</f>
        <v>0x00022227</v>
      </c>
      <c r="E171" s="56" t="s">
        <v>734</v>
      </c>
    </row>
    <row r="172" spans="1:5">
      <c r="A172" s="98" t="str">
        <f>IF('Register Configuration'!$C$19=32,"#","")&amp;"mem set "</f>
        <v xml:space="preserve">mem set </v>
      </c>
      <c r="B172" s="98" t="s">
        <v>616</v>
      </c>
      <c r="C172" s="91">
        <v>32</v>
      </c>
      <c r="D172" s="62" t="str">
        <f>"0x"&amp;'Register Configuration'!$C$378</f>
        <v>0x00022227</v>
      </c>
      <c r="E172" s="56" t="s">
        <v>735</v>
      </c>
    </row>
    <row r="173" spans="1:5">
      <c r="E173" s="56"/>
    </row>
    <row r="174" spans="1:5">
      <c r="A174" s="98" t="s">
        <v>619</v>
      </c>
      <c r="B174" s="98" t="s">
        <v>604</v>
      </c>
      <c r="C174" s="91">
        <v>32</v>
      </c>
      <c r="D174" s="62" t="str">
        <f>"0x"&amp;'Register Configuration'!$C$383</f>
        <v>0x00025576</v>
      </c>
      <c r="E174" s="56" t="s">
        <v>736</v>
      </c>
    </row>
    <row r="175" spans="1:5">
      <c r="D175" s="102"/>
    </row>
    <row r="176" spans="1:5">
      <c r="A176" s="98" t="s">
        <v>619</v>
      </c>
      <c r="B176" s="98" t="s">
        <v>617</v>
      </c>
      <c r="C176" s="91">
        <v>32</v>
      </c>
      <c r="D176" s="62" t="str">
        <f>"0x"&amp;'Register Configuration'!$C$388</f>
        <v>0x00011006</v>
      </c>
      <c r="E176" s="10" t="s">
        <v>737</v>
      </c>
    </row>
    <row r="177" spans="1:5">
      <c r="D177" s="102"/>
    </row>
    <row r="178" spans="1:5">
      <c r="A178" s="98" t="s">
        <v>619</v>
      </c>
      <c r="B178" s="98" t="s">
        <v>580</v>
      </c>
      <c r="C178" s="91">
        <v>32</v>
      </c>
      <c r="D178" s="106" t="s">
        <v>396</v>
      </c>
      <c r="E178" s="56" t="s">
        <v>738</v>
      </c>
    </row>
    <row r="179" spans="1:5">
      <c r="B179" s="99"/>
      <c r="C179" s="92"/>
      <c r="D179" s="107"/>
      <c r="E179" s="56"/>
    </row>
    <row r="180" spans="1:5">
      <c r="D180" s="102"/>
    </row>
    <row r="181" spans="1:5">
      <c r="D181" s="102"/>
    </row>
    <row r="182" spans="1:5">
      <c r="D182" s="107"/>
    </row>
    <row r="183" spans="1:5">
      <c r="D183" s="102"/>
    </row>
    <row r="184" spans="1:5">
      <c r="D184" s="102"/>
    </row>
    <row r="185" spans="1:5">
      <c r="D185" s="102"/>
    </row>
    <row r="186" spans="1:5">
      <c r="D186" s="102"/>
    </row>
    <row r="187" spans="1:5">
      <c r="D187" s="102"/>
    </row>
    <row r="188" spans="1:5">
      <c r="D188" s="102"/>
    </row>
    <row r="189" spans="1:5">
      <c r="D189" s="102"/>
    </row>
    <row r="190" spans="1:5">
      <c r="D190" s="102"/>
    </row>
    <row r="191" spans="1:5">
      <c r="D191" s="102"/>
    </row>
    <row r="192" spans="1:5">
      <c r="D192" s="102"/>
    </row>
    <row r="193" spans="1:5">
      <c r="D193" s="102"/>
    </row>
    <row r="194" spans="1:5">
      <c r="D194" s="102"/>
    </row>
    <row r="195" spans="1:5">
      <c r="D195" s="102"/>
    </row>
    <row r="196" spans="1:5">
      <c r="D196" s="102"/>
    </row>
    <row r="197" spans="1:5">
      <c r="D197" s="107"/>
    </row>
    <row r="199" spans="1:5">
      <c r="A199" s="102"/>
      <c r="B199" s="102"/>
      <c r="C199" s="97"/>
      <c r="D199" s="102"/>
      <c r="E199" s="59"/>
    </row>
    <row r="200" spans="1:5">
      <c r="A200" s="102"/>
      <c r="B200" s="102"/>
      <c r="C200" s="97"/>
      <c r="D200" s="102"/>
      <c r="E200" s="59"/>
    </row>
    <row r="201" spans="1:5">
      <c r="A201" s="102"/>
      <c r="B201" s="102"/>
      <c r="C201" s="97"/>
      <c r="D201" s="102"/>
      <c r="E201" s="59"/>
    </row>
    <row r="202" spans="1:5">
      <c r="A202" s="102"/>
      <c r="B202" s="102"/>
      <c r="C202" s="97"/>
      <c r="D202" s="102"/>
      <c r="E202" s="59"/>
    </row>
    <row r="203" spans="1:5">
      <c r="A203" s="102"/>
      <c r="B203" s="102"/>
      <c r="C203" s="97"/>
      <c r="D203" s="102"/>
      <c r="E203" s="59"/>
    </row>
    <row r="204" spans="1:5">
      <c r="A204" s="102"/>
      <c r="B204" s="102"/>
      <c r="C204" s="97"/>
      <c r="D204" s="102"/>
      <c r="E204" s="59"/>
    </row>
    <row r="205" spans="1:5">
      <c r="A205" s="102"/>
      <c r="B205" s="102"/>
      <c r="C205" s="97"/>
      <c r="D205" s="102"/>
      <c r="E205" s="59"/>
    </row>
    <row r="206" spans="1:5">
      <c r="A206" s="102"/>
      <c r="B206" s="102"/>
      <c r="C206" s="97"/>
      <c r="D206" s="102"/>
      <c r="E206" s="59"/>
    </row>
    <row r="207" spans="1:5">
      <c r="A207" s="102"/>
      <c r="B207" s="102"/>
      <c r="C207" s="97"/>
      <c r="D207" s="102"/>
      <c r="E207" s="59"/>
    </row>
    <row r="208" spans="1:5">
      <c r="A208" s="102"/>
      <c r="B208" s="102"/>
      <c r="C208" s="97"/>
      <c r="D208" s="102"/>
      <c r="E208" s="59"/>
    </row>
    <row r="209" spans="1:5">
      <c r="A209" s="102"/>
      <c r="B209" s="102"/>
      <c r="C209" s="97"/>
      <c r="D209" s="102"/>
      <c r="E209" s="59"/>
    </row>
    <row r="210" spans="1:5">
      <c r="A210" s="102"/>
      <c r="B210" s="102"/>
      <c r="C210" s="97"/>
      <c r="D210" s="102"/>
      <c r="E210" s="59"/>
    </row>
    <row r="211" spans="1:5">
      <c r="A211" s="102"/>
      <c r="B211" s="102"/>
      <c r="C211" s="97"/>
      <c r="D211" s="102"/>
      <c r="E211" s="59"/>
    </row>
    <row r="212" spans="1:5">
      <c r="A212" s="102"/>
      <c r="B212" s="102"/>
      <c r="C212" s="97"/>
      <c r="D212" s="102"/>
      <c r="E212" s="59"/>
    </row>
    <row r="213" spans="1:5">
      <c r="A213" s="102"/>
      <c r="B213" s="102"/>
      <c r="C213" s="97"/>
      <c r="D213" s="102"/>
      <c r="E213" s="59"/>
    </row>
    <row r="214" spans="1:5">
      <c r="A214" s="102"/>
      <c r="B214" s="102"/>
      <c r="C214" s="97"/>
      <c r="D214" s="102"/>
      <c r="E214" s="59"/>
    </row>
    <row r="215" spans="1:5">
      <c r="A215" s="102"/>
      <c r="B215" s="102"/>
      <c r="C215" s="97"/>
      <c r="D215" s="102"/>
      <c r="E215" s="59"/>
    </row>
    <row r="216" spans="1:5">
      <c r="A216" s="102"/>
      <c r="B216" s="102"/>
      <c r="C216" s="97"/>
      <c r="D216" s="102"/>
      <c r="E216" s="59"/>
    </row>
    <row r="217" spans="1:5">
      <c r="A217" s="102"/>
      <c r="B217" s="102"/>
      <c r="C217" s="97"/>
      <c r="D217" s="102"/>
      <c r="E217" s="59"/>
    </row>
    <row r="218" spans="1:5">
      <c r="A218" s="102"/>
      <c r="B218" s="102"/>
      <c r="C218" s="97"/>
      <c r="D218" s="102"/>
      <c r="E218" s="59"/>
    </row>
    <row r="219" spans="1:5">
      <c r="A219" s="102"/>
      <c r="B219" s="102"/>
      <c r="C219" s="97"/>
      <c r="D219" s="102"/>
      <c r="E219" s="59"/>
    </row>
    <row r="220" spans="1:5">
      <c r="A220" s="102"/>
      <c r="B220" s="102"/>
      <c r="C220" s="97"/>
      <c r="D220" s="102"/>
      <c r="E220" s="59"/>
    </row>
    <row r="221" spans="1:5">
      <c r="A221" s="102"/>
      <c r="B221" s="102"/>
      <c r="C221" s="97"/>
      <c r="D221" s="102"/>
      <c r="E221" s="59"/>
    </row>
    <row r="222" spans="1:5">
      <c r="A222" s="102"/>
      <c r="B222" s="102"/>
      <c r="C222" s="97"/>
      <c r="D222" s="102"/>
      <c r="E222" s="59"/>
    </row>
    <row r="223" spans="1:5">
      <c r="A223" s="102"/>
      <c r="B223" s="102"/>
      <c r="C223" s="97"/>
      <c r="D223" s="102"/>
      <c r="E223" s="59"/>
    </row>
    <row r="224" spans="1:5">
      <c r="A224" s="102"/>
      <c r="B224" s="102"/>
      <c r="C224" s="97"/>
      <c r="D224" s="102"/>
      <c r="E224" s="59"/>
    </row>
    <row r="225" spans="1:5">
      <c r="A225" s="102"/>
      <c r="B225" s="102"/>
      <c r="C225" s="97"/>
      <c r="D225" s="102"/>
      <c r="E225" s="59"/>
    </row>
    <row r="226" spans="1:5">
      <c r="A226" s="102"/>
      <c r="B226" s="102"/>
      <c r="C226" s="97"/>
      <c r="D226" s="102"/>
      <c r="E226" s="59"/>
    </row>
    <row r="227" spans="1:5">
      <c r="A227" s="102"/>
      <c r="B227" s="102"/>
      <c r="C227" s="97"/>
      <c r="D227" s="102"/>
      <c r="E227" s="59"/>
    </row>
    <row r="228" spans="1:5">
      <c r="A228" s="107"/>
      <c r="B228" s="102"/>
      <c r="C228" s="97"/>
      <c r="D228" s="102"/>
      <c r="E228" s="59"/>
    </row>
    <row r="229" spans="1:5">
      <c r="A229" s="102"/>
      <c r="B229" s="102"/>
      <c r="C229" s="97"/>
      <c r="D229" s="102"/>
      <c r="E229" s="59"/>
    </row>
    <row r="230" spans="1:5">
      <c r="A230" s="102"/>
      <c r="B230" s="102"/>
      <c r="C230" s="97"/>
      <c r="D230" s="102"/>
      <c r="E230" s="59"/>
    </row>
    <row r="231" spans="1:5">
      <c r="A231" s="102"/>
      <c r="B231" s="102"/>
      <c r="C231" s="97"/>
      <c r="D231" s="102"/>
      <c r="E231" s="59"/>
    </row>
    <row r="232" spans="1:5">
      <c r="A232" s="102"/>
      <c r="B232" s="102"/>
      <c r="C232" s="97"/>
      <c r="D232" s="102"/>
      <c r="E232" s="59"/>
    </row>
    <row r="233" spans="1:5">
      <c r="A233" s="102"/>
      <c r="B233" s="102"/>
      <c r="C233" s="97"/>
      <c r="D233" s="102"/>
      <c r="E233" s="59"/>
    </row>
  </sheetData>
  <sheetProtection algorithmName="SHA-512" hashValue="4DikMHTdSPxyrES4AbeYqvd1oDX1ct9ox//lxJfUULgYjjMHafHaj4GE6lVFUomxelE4Q0h11dRtwucItcyXoQ==" saltValue="ajClkJuW2ORK9h4wlquE4Q==" spinCount="100000" sheet="1" objects="1" scenarios="1"/>
  <phoneticPr fontId="20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workbookViewId="0">
      <selection activeCell="B3" sqref="B3"/>
    </sheetView>
  </sheetViews>
  <sheetFormatPr defaultColWidth="9.109375" defaultRowHeight="18"/>
  <cols>
    <col min="1" max="1" width="9.109375" style="84"/>
    <col min="2" max="2" width="130.6640625" style="84" customWidth="1"/>
    <col min="3" max="16384" width="9.109375" style="84"/>
  </cols>
  <sheetData>
    <row r="1" spans="1:3">
      <c r="B1" s="85"/>
    </row>
    <row r="2" spans="1:3">
      <c r="A2" s="86"/>
      <c r="B2" s="80" t="s">
        <v>564</v>
      </c>
      <c r="C2" s="87"/>
    </row>
    <row r="3" spans="1:3">
      <c r="A3" s="86"/>
      <c r="B3" s="90" t="s">
        <v>565</v>
      </c>
      <c r="C3" s="87"/>
    </row>
    <row r="4" spans="1:3">
      <c r="A4" s="86"/>
      <c r="B4" s="81" t="s">
        <v>556</v>
      </c>
      <c r="C4" s="87"/>
    </row>
    <row r="5" spans="1:3" ht="36">
      <c r="A5" s="86"/>
      <c r="B5" s="82" t="s">
        <v>558</v>
      </c>
      <c r="C5" s="87"/>
    </row>
    <row r="6" spans="1:3" ht="36">
      <c r="A6" s="86"/>
      <c r="B6" s="83" t="s">
        <v>557</v>
      </c>
      <c r="C6" s="87"/>
    </row>
    <row r="7" spans="1:3">
      <c r="B7" s="88"/>
    </row>
  </sheetData>
  <sheetProtection password="EEF6" sheet="1" objects="1" scenarios="1"/>
  <phoneticPr fontId="20" type="noConversion"/>
  <hyperlinks>
    <hyperlink ref="B3" r:id="rId1" xr:uid="{00000000-0004-0000-04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Readme</vt:lpstr>
      <vt:lpstr>Register Configuration</vt:lpstr>
      <vt:lpstr>RealView .inc</vt:lpstr>
      <vt:lpstr>DS-5.ds</vt:lpstr>
      <vt:lpstr>Calibration</vt:lpstr>
      <vt:lpstr>'DS-5.ds'!Codex_LPDDR1_200MHz</vt:lpstr>
      <vt:lpstr>'RealView .inc'!Codex_LPDDR1_200MHz.inc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2020-11-03T12:31:06Z</dcterms:modified>
</cp:coreProperties>
</file>