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bo\Documents\MPSA\6010\"/>
    </mc:Choice>
  </mc:AlternateContent>
  <bookViews>
    <workbookView xWindow="0" yWindow="0" windowWidth="24000" windowHeight="9510" xr2:uid="{00000000-000D-0000-FFFF-FFFF00000000}"/>
  </bookViews>
  <sheets>
    <sheet name="Quantities" sheetId="5" r:id="rId1"/>
    <sheet name="large sample" sheetId="1" r:id="rId2"/>
    <sheet name="small sample" sheetId="2" r:id="rId3"/>
    <sheet name="proportion" sheetId="3" r:id="rId4"/>
    <sheet name="SD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4" l="1"/>
  <c r="G25" i="4"/>
  <c r="G21" i="4"/>
  <c r="G15" i="4"/>
  <c r="G14" i="4"/>
  <c r="G13" i="4"/>
  <c r="G12" i="4"/>
  <c r="G11" i="4"/>
  <c r="G10" i="4"/>
  <c r="G8" i="4"/>
  <c r="G7" i="4"/>
  <c r="G4" i="4"/>
  <c r="G3" i="4"/>
  <c r="G32" i="3"/>
  <c r="G31" i="3"/>
  <c r="G29" i="3"/>
  <c r="G27" i="3"/>
  <c r="H20" i="3"/>
  <c r="G20" i="3"/>
  <c r="G15" i="3"/>
  <c r="G14" i="3"/>
  <c r="G13" i="3"/>
  <c r="G11" i="3"/>
  <c r="G10" i="3"/>
  <c r="G7" i="3"/>
  <c r="G5" i="3"/>
  <c r="G4" i="3"/>
  <c r="G3" i="3"/>
  <c r="G25" i="2"/>
  <c r="G24" i="2"/>
  <c r="G20" i="2"/>
  <c r="G19" i="2"/>
  <c r="G14" i="2"/>
  <c r="G13" i="2"/>
  <c r="G12" i="2"/>
  <c r="G11" i="2"/>
  <c r="G9" i="2"/>
  <c r="G8" i="2"/>
  <c r="G7" i="2"/>
  <c r="G4" i="2"/>
  <c r="G3" i="2"/>
  <c r="G25" i="1"/>
  <c r="G24" i="1"/>
  <c r="G19" i="1"/>
  <c r="G16" i="1"/>
  <c r="G12" i="1"/>
  <c r="G11" i="1"/>
  <c r="G10" i="1"/>
  <c r="G9" i="1"/>
  <c r="G8" i="1"/>
  <c r="G7" i="1"/>
  <c r="G6" i="1"/>
  <c r="G5" i="1"/>
  <c r="G4" i="1"/>
  <c r="G22" i="4" l="1"/>
  <c r="G23" i="4"/>
  <c r="S2" i="4"/>
  <c r="K22" i="4" l="1"/>
  <c r="L22" i="4" s="1"/>
  <c r="R3" i="4"/>
  <c r="S3" i="4" s="1"/>
  <c r="L23" i="3"/>
  <c r="G28" i="3"/>
  <c r="L24" i="3"/>
  <c r="M24" i="3" s="1"/>
  <c r="G19" i="3"/>
  <c r="K4" i="3"/>
  <c r="G9" i="3"/>
  <c r="P3" i="3"/>
  <c r="P4" i="3" s="1"/>
  <c r="Q2" i="3"/>
  <c r="M21" i="4" l="1"/>
  <c r="M22" i="4"/>
  <c r="N22" i="4" s="1"/>
  <c r="K21" i="4"/>
  <c r="R4" i="4"/>
  <c r="R5" i="4" s="1"/>
  <c r="J4" i="4"/>
  <c r="K4" i="4" s="1"/>
  <c r="J3" i="4"/>
  <c r="L4" i="4"/>
  <c r="M4" i="4" s="1"/>
  <c r="L3" i="4"/>
  <c r="G6" i="3"/>
  <c r="H14" i="3" s="1"/>
  <c r="G30" i="3"/>
  <c r="K5" i="3"/>
  <c r="L5" i="3" s="1"/>
  <c r="M4" i="3"/>
  <c r="M5" i="3"/>
  <c r="N5" i="3" s="1"/>
  <c r="Q4" i="3"/>
  <c r="P5" i="3"/>
  <c r="Q3" i="3"/>
  <c r="S4" i="4" l="1"/>
  <c r="N24" i="3"/>
  <c r="O24" i="3" s="1"/>
  <c r="N23" i="3"/>
  <c r="S5" i="4"/>
  <c r="R6" i="4"/>
  <c r="H15" i="3"/>
  <c r="P6" i="3"/>
  <c r="Q5" i="3"/>
  <c r="S6" i="4" l="1"/>
  <c r="R7" i="4"/>
  <c r="Q6" i="3"/>
  <c r="P7" i="3"/>
  <c r="S7" i="4" l="1"/>
  <c r="R8" i="4"/>
  <c r="P8" i="3"/>
  <c r="Q7" i="3"/>
  <c r="S3" i="2"/>
  <c r="S2" i="2"/>
  <c r="G6" i="2"/>
  <c r="R3" i="2"/>
  <c r="R4" i="2" s="1"/>
  <c r="R5" i="2" s="1"/>
  <c r="S5" i="2" s="1"/>
  <c r="M22" i="1"/>
  <c r="L4" i="1"/>
  <c r="M4" i="1" s="1"/>
  <c r="N4" i="1"/>
  <c r="O4" i="1" s="1"/>
  <c r="S2" i="1"/>
  <c r="R3" i="1"/>
  <c r="S3" i="1" s="1"/>
  <c r="O22" i="2" l="1"/>
  <c r="O21" i="2"/>
  <c r="N3" i="2"/>
  <c r="L4" i="2"/>
  <c r="M4" i="2" s="1"/>
  <c r="S4" i="2"/>
  <c r="S8" i="4"/>
  <c r="R9" i="4"/>
  <c r="Q8" i="3"/>
  <c r="P9" i="3"/>
  <c r="L22" i="2"/>
  <c r="R6" i="2"/>
  <c r="S6" i="2" s="1"/>
  <c r="M22" i="2"/>
  <c r="P22" i="2" s="1"/>
  <c r="L21" i="2"/>
  <c r="R4" i="1"/>
  <c r="L21" i="1"/>
  <c r="L22" i="1"/>
  <c r="L3" i="1"/>
  <c r="N3" i="1"/>
  <c r="L3" i="2" l="1"/>
  <c r="S9" i="4"/>
  <c r="R10" i="4"/>
  <c r="P10" i="3"/>
  <c r="Q9" i="3"/>
  <c r="L25" i="2"/>
  <c r="M25" i="2" s="1"/>
  <c r="L24" i="2"/>
  <c r="N4" i="2"/>
  <c r="O4" i="2" s="1"/>
  <c r="R7" i="2"/>
  <c r="S7" i="2" s="1"/>
  <c r="O22" i="1"/>
  <c r="P22" i="1" s="1"/>
  <c r="O21" i="1"/>
  <c r="R5" i="1"/>
  <c r="S4" i="1"/>
  <c r="S10" i="4" l="1"/>
  <c r="R11" i="4"/>
  <c r="Q10" i="3"/>
  <c r="P11" i="3"/>
  <c r="R8" i="2"/>
  <c r="S8" i="2" s="1"/>
  <c r="R6" i="1"/>
  <c r="S5" i="1"/>
  <c r="S11" i="4" l="1"/>
  <c r="R12" i="4"/>
  <c r="P12" i="3"/>
  <c r="Q11" i="3"/>
  <c r="R9" i="2"/>
  <c r="S9" i="2" s="1"/>
  <c r="R7" i="1"/>
  <c r="S6" i="1"/>
  <c r="S12" i="4" l="1"/>
  <c r="R13" i="4"/>
  <c r="Q12" i="3"/>
  <c r="P13" i="3"/>
  <c r="R10" i="2"/>
  <c r="S10" i="2" s="1"/>
  <c r="R8" i="1"/>
  <c r="S7" i="1"/>
  <c r="S13" i="4" l="1"/>
  <c r="R14" i="4"/>
  <c r="P14" i="3"/>
  <c r="Q13" i="3"/>
  <c r="R11" i="2"/>
  <c r="S11" i="2" s="1"/>
  <c r="R9" i="1"/>
  <c r="S8" i="1"/>
  <c r="S14" i="4" l="1"/>
  <c r="R15" i="4"/>
  <c r="Q14" i="3"/>
  <c r="P15" i="3"/>
  <c r="R12" i="2"/>
  <c r="S12" i="2" s="1"/>
  <c r="R10" i="1"/>
  <c r="S9" i="1"/>
  <c r="S15" i="4" l="1"/>
  <c r="R16" i="4"/>
  <c r="P16" i="3"/>
  <c r="Q15" i="3"/>
  <c r="R13" i="2"/>
  <c r="S13" i="2" s="1"/>
  <c r="R11" i="1"/>
  <c r="S10" i="1"/>
  <c r="S16" i="4" l="1"/>
  <c r="R17" i="4"/>
  <c r="S17" i="4" s="1"/>
  <c r="Q16" i="3"/>
  <c r="P17" i="3"/>
  <c r="R14" i="2"/>
  <c r="S14" i="2" s="1"/>
  <c r="R12" i="1"/>
  <c r="S11" i="1"/>
  <c r="P18" i="3" l="1"/>
  <c r="Q18" i="3" s="1"/>
  <c r="Q17" i="3"/>
  <c r="R15" i="2"/>
  <c r="S15" i="2" s="1"/>
  <c r="R13" i="1"/>
  <c r="S12" i="1"/>
  <c r="R16" i="2" l="1"/>
  <c r="S16" i="2" s="1"/>
  <c r="R14" i="1"/>
  <c r="S13" i="1"/>
  <c r="R17" i="2" l="1"/>
  <c r="S17" i="2" s="1"/>
  <c r="R15" i="1"/>
  <c r="S14" i="1"/>
  <c r="R18" i="2" l="1"/>
  <c r="S18" i="2" s="1"/>
  <c r="R16" i="1"/>
  <c r="S15" i="1"/>
  <c r="R17" i="1" l="1"/>
  <c r="S16" i="1"/>
  <c r="R18" i="1" l="1"/>
  <c r="S18" i="1" s="1"/>
  <c r="S17" i="1"/>
</calcChain>
</file>

<file path=xl/sharedStrings.xml><?xml version="1.0" encoding="utf-8"?>
<sst xmlns="http://schemas.openxmlformats.org/spreadsheetml/2006/main" count="192" uniqueCount="144">
  <si>
    <t>Data</t>
  </si>
  <si>
    <t>z</t>
  </si>
  <si>
    <t xml:space="preserve"> </t>
  </si>
  <si>
    <t>f(z)</t>
  </si>
  <si>
    <t>Confidence level:</t>
  </si>
  <si>
    <t>Area on the Tail</t>
  </si>
  <si>
    <t>Critical Z value</t>
  </si>
  <si>
    <t>Critical Positive Z value</t>
  </si>
  <si>
    <t>Critical Negative Z value</t>
  </si>
  <si>
    <t>1. Costruct a 90% CI for the mean</t>
  </si>
  <si>
    <t xml:space="preserve">     </t>
  </si>
  <si>
    <t>For Standard Normal:</t>
  </si>
  <si>
    <t>For non-standard Normal:</t>
  </si>
  <si>
    <r>
      <t xml:space="preserve">      =NORM.DIST(</t>
    </r>
    <r>
      <rPr>
        <b/>
        <i/>
        <sz val="16"/>
        <color theme="1"/>
        <rFont val="Calibri"/>
        <family val="2"/>
        <scheme val="minor"/>
      </rPr>
      <t xml:space="preserve"> x , </t>
    </r>
    <r>
      <rPr>
        <b/>
        <i/>
        <sz val="16"/>
        <color theme="1"/>
        <rFont val="Calibri"/>
        <family val="2"/>
      </rPr>
      <t>µ , σ</t>
    </r>
    <r>
      <rPr>
        <b/>
        <i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, 1)</t>
    </r>
  </si>
  <si>
    <r>
      <t xml:space="preserve">      =NORM.INV(</t>
    </r>
    <r>
      <rPr>
        <b/>
        <i/>
        <sz val="16"/>
        <color theme="1"/>
        <rFont val="Calibri"/>
        <family val="2"/>
        <scheme val="minor"/>
      </rPr>
      <t xml:space="preserve"> probability , </t>
    </r>
    <r>
      <rPr>
        <b/>
        <i/>
        <sz val="16"/>
        <color theme="1"/>
        <rFont val="Calibri"/>
        <family val="2"/>
      </rPr>
      <t>µ , σ</t>
    </r>
    <r>
      <rPr>
        <b/>
        <sz val="16"/>
        <color theme="1"/>
        <rFont val="Calibri"/>
        <family val="2"/>
        <scheme val="minor"/>
      </rPr>
      <t>)</t>
    </r>
  </si>
  <si>
    <r>
      <t xml:space="preserve">      =NORM.S.DIST(</t>
    </r>
    <r>
      <rPr>
        <b/>
        <i/>
        <sz val="16"/>
        <color theme="1"/>
        <rFont val="Calibri"/>
        <family val="2"/>
        <scheme val="minor"/>
      </rPr>
      <t xml:space="preserve"> z</t>
    </r>
    <r>
      <rPr>
        <b/>
        <sz val="16"/>
        <color theme="1"/>
        <rFont val="Calibri"/>
        <family val="2"/>
        <scheme val="minor"/>
      </rPr>
      <t xml:space="preserve"> , 1)</t>
    </r>
  </si>
  <si>
    <r>
      <t xml:space="preserve">     = NORM.S.INV(</t>
    </r>
    <r>
      <rPr>
        <b/>
        <i/>
        <sz val="16"/>
        <color theme="1"/>
        <rFont val="Calibri"/>
        <family val="2"/>
        <scheme val="minor"/>
      </rPr>
      <t>Probability</t>
    </r>
    <r>
      <rPr>
        <b/>
        <sz val="16"/>
        <color theme="1"/>
        <rFont val="Calibri"/>
        <family val="2"/>
        <scheme val="minor"/>
      </rPr>
      <t>)</t>
    </r>
  </si>
  <si>
    <t>Sample mean</t>
  </si>
  <si>
    <t xml:space="preserve">Sample size </t>
  </si>
  <si>
    <t>Sample SD</t>
  </si>
  <si>
    <t>Margin of Error E</t>
  </si>
  <si>
    <t>CI Lower</t>
  </si>
  <si>
    <t>CI Upper</t>
  </si>
  <si>
    <t xml:space="preserve"> α =</t>
  </si>
  <si>
    <r>
      <t xml:space="preserve">Ho:   µ </t>
    </r>
    <r>
      <rPr>
        <b/>
        <sz val="11"/>
        <color theme="1"/>
        <rFont val="Calibri"/>
        <family val="2"/>
      </rPr>
      <t>≤</t>
    </r>
    <r>
      <rPr>
        <b/>
        <sz val="11"/>
        <color theme="1"/>
        <rFont val="Calibri"/>
        <family val="2"/>
        <scheme val="minor"/>
      </rPr>
      <t xml:space="preserve"> 95</t>
    </r>
  </si>
  <si>
    <r>
      <t xml:space="preserve">Ha:   µ </t>
    </r>
    <r>
      <rPr>
        <b/>
        <sz val="11"/>
        <color theme="1"/>
        <rFont val="Calibri"/>
        <family val="2"/>
      </rPr>
      <t>&gt;</t>
    </r>
    <r>
      <rPr>
        <b/>
        <sz val="11"/>
        <color theme="1"/>
        <rFont val="Calibri"/>
        <family val="2"/>
        <scheme val="minor"/>
      </rPr>
      <t xml:space="preserve"> 95</t>
    </r>
  </si>
  <si>
    <t>Test Statistic  Z</t>
  </si>
  <si>
    <t>Hypothesized mean:</t>
  </si>
  <si>
    <r>
      <t xml:space="preserve">3.Use </t>
    </r>
    <r>
      <rPr>
        <b/>
        <sz val="11"/>
        <color theme="1"/>
        <rFont val="Calibri"/>
        <family val="2"/>
      </rPr>
      <t>α = 0.10 to test the claim that µ &gt; 95</t>
    </r>
  </si>
  <si>
    <t>Margin of error E</t>
  </si>
  <si>
    <t>Sample Size n</t>
  </si>
  <si>
    <t>t</t>
  </si>
  <si>
    <t>Critical Negative T value</t>
  </si>
  <si>
    <t xml:space="preserve">   </t>
  </si>
  <si>
    <r>
      <t xml:space="preserve">3. Use </t>
    </r>
    <r>
      <rPr>
        <b/>
        <sz val="11"/>
        <color theme="1"/>
        <rFont val="Calibri"/>
        <family val="2"/>
      </rPr>
      <t>α = 0.05 to test the claim that µ ≠ 95</t>
    </r>
  </si>
  <si>
    <r>
      <t xml:space="preserve">Ha:   µ </t>
    </r>
    <r>
      <rPr>
        <b/>
        <sz val="11"/>
        <color theme="1"/>
        <rFont val="Calibri"/>
        <family val="2"/>
      </rPr>
      <t xml:space="preserve">≠ </t>
    </r>
    <r>
      <rPr>
        <b/>
        <sz val="11"/>
        <color theme="1"/>
        <rFont val="Calibri"/>
        <family val="2"/>
        <scheme val="minor"/>
      </rPr>
      <t xml:space="preserve"> 95</t>
    </r>
  </si>
  <si>
    <r>
      <t xml:space="preserve">Ho:   µ </t>
    </r>
    <r>
      <rPr>
        <b/>
        <sz val="11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 xml:space="preserve"> 95</t>
    </r>
  </si>
  <si>
    <t>Test Statistic  T</t>
  </si>
  <si>
    <t>Critical T value 1</t>
  </si>
  <si>
    <t>Critical T value 2</t>
  </si>
  <si>
    <t>P-Value</t>
  </si>
  <si>
    <r>
      <t xml:space="preserve">Confidence level </t>
    </r>
    <r>
      <rPr>
        <b/>
        <i/>
        <sz val="11"/>
        <color theme="1"/>
        <rFont val="Calibri"/>
        <family val="2"/>
        <scheme val="minor"/>
      </rPr>
      <t xml:space="preserve"> c</t>
    </r>
    <r>
      <rPr>
        <sz val="11"/>
        <color theme="1"/>
        <rFont val="Calibri"/>
        <family val="2"/>
        <scheme val="minor"/>
      </rPr>
      <t xml:space="preserve"> :</t>
    </r>
  </si>
  <si>
    <r>
      <t xml:space="preserve">Area on the Tail  </t>
    </r>
    <r>
      <rPr>
        <b/>
        <sz val="11"/>
        <color theme="1"/>
        <rFont val="Calibri"/>
        <family val="2"/>
        <scheme val="minor"/>
      </rPr>
      <t>(1 -</t>
    </r>
    <r>
      <rPr>
        <b/>
        <i/>
        <sz val="11"/>
        <color theme="1"/>
        <rFont val="Calibri"/>
        <family val="2"/>
        <scheme val="minor"/>
      </rPr>
      <t xml:space="preserve"> c</t>
    </r>
    <r>
      <rPr>
        <b/>
        <sz val="11"/>
        <color theme="1"/>
        <rFont val="Calibri"/>
        <family val="2"/>
        <scheme val="minor"/>
      </rPr>
      <t>) / 2</t>
    </r>
  </si>
  <si>
    <t>f(t)</t>
  </si>
  <si>
    <t xml:space="preserve">Critical Positive T value </t>
  </si>
  <si>
    <t>Sample Size</t>
  </si>
  <si>
    <t>Sample Success</t>
  </si>
  <si>
    <t>Sample Proportion</t>
  </si>
  <si>
    <t>p-hat</t>
  </si>
  <si>
    <t>q-hat</t>
  </si>
  <si>
    <t xml:space="preserve">Critical Positive Z  value </t>
  </si>
  <si>
    <t>Critical Negative Z  value</t>
  </si>
  <si>
    <t>Margin of Error  E</t>
  </si>
  <si>
    <t>CI  Lower  Limit</t>
  </si>
  <si>
    <t>CI  Upper  Limit</t>
  </si>
  <si>
    <r>
      <t xml:space="preserve">2. What size sample is needed to estimate 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to within 2%?</t>
    </r>
  </si>
  <si>
    <r>
      <t xml:space="preserve">     Assume no prior estimate of </t>
    </r>
    <r>
      <rPr>
        <b/>
        <i/>
        <sz val="11"/>
        <color theme="1"/>
        <rFont val="Calibri"/>
        <family val="2"/>
        <scheme val="minor"/>
      </rPr>
      <t xml:space="preserve"> p.</t>
    </r>
  </si>
  <si>
    <r>
      <t xml:space="preserve">Margin of Error </t>
    </r>
    <r>
      <rPr>
        <b/>
        <i/>
        <sz val="11"/>
        <color theme="1"/>
        <rFont val="Calibri"/>
        <family val="2"/>
        <scheme val="minor"/>
      </rPr>
      <t xml:space="preserve"> E</t>
    </r>
  </si>
  <si>
    <r>
      <t>Sample Size</t>
    </r>
    <r>
      <rPr>
        <b/>
        <i/>
        <sz val="11"/>
        <color theme="1"/>
        <rFont val="Calibri"/>
        <family val="2"/>
        <scheme val="minor"/>
      </rPr>
      <t xml:space="preserve"> n</t>
    </r>
  </si>
  <si>
    <r>
      <t xml:space="preserve">3. Use </t>
    </r>
    <r>
      <rPr>
        <b/>
        <sz val="11"/>
        <color theme="1"/>
        <rFont val="Calibri"/>
        <family val="2"/>
      </rPr>
      <t xml:space="preserve">α = 0.1  to test the claim that </t>
    </r>
    <r>
      <rPr>
        <b/>
        <i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</rPr>
      <t xml:space="preserve"> &lt; 45%.</t>
    </r>
  </si>
  <si>
    <t>Left Tail Critical  Z Value</t>
  </si>
  <si>
    <r>
      <t xml:space="preserve">Ho:  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</rPr>
      <t>≥</t>
    </r>
    <r>
      <rPr>
        <b/>
        <sz val="11"/>
        <color theme="1"/>
        <rFont val="Calibri"/>
        <family val="2"/>
        <scheme val="minor"/>
      </rPr>
      <t xml:space="preserve"> 0.45</t>
    </r>
  </si>
  <si>
    <r>
      <t xml:space="preserve">Ha:  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</rPr>
      <t xml:space="preserve">&lt; </t>
    </r>
    <r>
      <rPr>
        <b/>
        <sz val="11"/>
        <color theme="1"/>
        <rFont val="Calibri"/>
        <family val="2"/>
        <scheme val="minor"/>
      </rPr>
      <t xml:space="preserve"> 0.45</t>
    </r>
  </si>
  <si>
    <t>Hypothesized proportion</t>
  </si>
  <si>
    <t>qo =</t>
  </si>
  <si>
    <t>T Distrubution</t>
  </si>
  <si>
    <r>
      <t xml:space="preserve">      =T.DIST(</t>
    </r>
    <r>
      <rPr>
        <b/>
        <i/>
        <sz val="16"/>
        <color theme="1"/>
        <rFont val="Calibri"/>
        <family val="2"/>
        <scheme val="minor"/>
      </rPr>
      <t xml:space="preserve"> t</t>
    </r>
    <r>
      <rPr>
        <b/>
        <sz val="16"/>
        <color theme="1"/>
        <rFont val="Calibri"/>
        <family val="2"/>
        <scheme val="minor"/>
      </rPr>
      <t xml:space="preserve"> , DF , 1)</t>
    </r>
  </si>
  <si>
    <r>
      <t xml:space="preserve">     = T.INV(</t>
    </r>
    <r>
      <rPr>
        <b/>
        <i/>
        <sz val="16"/>
        <color theme="1"/>
        <rFont val="Calibri"/>
        <family val="2"/>
        <scheme val="minor"/>
      </rPr>
      <t>Probability , DF</t>
    </r>
    <r>
      <rPr>
        <b/>
        <sz val="16"/>
        <color theme="1"/>
        <rFont val="Calibri"/>
        <family val="2"/>
        <scheme val="minor"/>
      </rPr>
      <t>)</t>
    </r>
  </si>
  <si>
    <t>Chi-squared Distribution</t>
  </si>
  <si>
    <r>
      <t xml:space="preserve">      =CHISQ.DIST(</t>
    </r>
    <r>
      <rPr>
        <b/>
        <i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</rPr>
      <t xml:space="preserve">χ </t>
    </r>
    <r>
      <rPr>
        <i/>
        <vertAlign val="superscript"/>
        <sz val="16"/>
        <color theme="1"/>
        <rFont val="Brush Script MT"/>
        <family val="4"/>
      </rPr>
      <t>2</t>
    </r>
    <r>
      <rPr>
        <b/>
        <sz val="16"/>
        <color theme="1"/>
        <rFont val="Calibri"/>
        <family val="2"/>
        <scheme val="minor"/>
      </rPr>
      <t xml:space="preserve"> , </t>
    </r>
    <r>
      <rPr>
        <b/>
        <i/>
        <sz val="16"/>
        <color theme="1"/>
        <rFont val="Calibri"/>
        <family val="2"/>
        <scheme val="minor"/>
      </rPr>
      <t>DF</t>
    </r>
    <r>
      <rPr>
        <b/>
        <sz val="16"/>
        <color theme="1"/>
        <rFont val="Calibri"/>
        <family val="2"/>
        <scheme val="minor"/>
      </rPr>
      <t xml:space="preserve"> , 1)</t>
    </r>
  </si>
  <si>
    <r>
      <t xml:space="preserve">     = CHISQ.INV(</t>
    </r>
    <r>
      <rPr>
        <b/>
        <i/>
        <sz val="16"/>
        <color theme="1"/>
        <rFont val="Calibri"/>
        <family val="2"/>
        <scheme val="minor"/>
      </rPr>
      <t>Probability , DF</t>
    </r>
    <r>
      <rPr>
        <b/>
        <sz val="16"/>
        <color theme="1"/>
        <rFont val="Calibri"/>
        <family val="2"/>
        <scheme val="minor"/>
      </rPr>
      <t>)</t>
    </r>
  </si>
  <si>
    <t>1. Costruct a 90% CI for the population standard deviation</t>
  </si>
  <si>
    <r>
      <rPr>
        <b/>
        <i/>
        <sz val="11"/>
        <color theme="1"/>
        <rFont val="Calibri"/>
        <family val="2"/>
        <scheme val="minor"/>
      </rPr>
      <t xml:space="preserve">f </t>
    </r>
    <r>
      <rPr>
        <b/>
        <sz val="11"/>
        <color theme="1"/>
        <rFont val="Calibri"/>
        <family val="2"/>
        <scheme val="minor"/>
      </rPr>
      <t xml:space="preserve">(  χ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)</t>
    </r>
  </si>
  <si>
    <r>
      <t xml:space="preserve"> χ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</si>
  <si>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Sample Size  </t>
    </r>
    <r>
      <rPr>
        <b/>
        <i/>
        <sz val="11"/>
        <color theme="1"/>
        <rFont val="Calibri"/>
        <family val="2"/>
        <scheme val="minor"/>
      </rPr>
      <t>n</t>
    </r>
  </si>
  <si>
    <r>
      <t xml:space="preserve">Degrees of Freedom   </t>
    </r>
    <r>
      <rPr>
        <b/>
        <i/>
        <sz val="11"/>
        <color theme="1"/>
        <rFont val="Calibri"/>
        <family val="2"/>
        <scheme val="minor"/>
      </rPr>
      <t>DF= n - 1</t>
    </r>
  </si>
  <si>
    <t>Confidence Level</t>
  </si>
  <si>
    <r>
      <t xml:space="preserve"> Left Chi-squared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χ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</si>
  <si>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Right Chi-squared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χ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</si>
  <si>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Sample Variance:</t>
  </si>
  <si>
    <t>CI Lower for Variance</t>
  </si>
  <si>
    <t>CI Upper for Variance</t>
  </si>
  <si>
    <t>CI Lower for SD</t>
  </si>
  <si>
    <t>Sample SD:</t>
  </si>
  <si>
    <r>
      <t xml:space="preserve">2. Use </t>
    </r>
    <r>
      <rPr>
        <b/>
        <sz val="11"/>
        <color theme="1"/>
        <rFont val="Calibri"/>
        <family val="2"/>
      </rPr>
      <t>α = 0.1  to test the claim that σ &gt;</t>
    </r>
    <r>
      <rPr>
        <b/>
        <i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15.</t>
    </r>
  </si>
  <si>
    <r>
      <t xml:space="preserve">Ho:  </t>
    </r>
    <r>
      <rPr>
        <b/>
        <sz val="11"/>
        <color theme="1"/>
        <rFont val="Calibri"/>
        <family val="2"/>
      </rPr>
      <t>σ  ≤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</rPr>
      <t>15</t>
    </r>
  </si>
  <si>
    <r>
      <t xml:space="preserve">Ha:  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&gt; 15</t>
    </r>
  </si>
  <si>
    <r>
      <t xml:space="preserve">Right Tail Critical   χ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  Value</t>
    </r>
  </si>
  <si>
    <t>Hypothesized Variance</t>
  </si>
  <si>
    <t>Sample Variance</t>
  </si>
  <si>
    <r>
      <t xml:space="preserve">   χ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  Test statistic</t>
    </r>
  </si>
  <si>
    <t>P-value</t>
  </si>
  <si>
    <t>µ</t>
  </si>
  <si>
    <t>Parameter</t>
  </si>
  <si>
    <t>Statistic</t>
  </si>
  <si>
    <t>Mean</t>
  </si>
  <si>
    <t>Proportion</t>
  </si>
  <si>
    <t>p</t>
  </si>
  <si>
    <t>Standard Deviation</t>
  </si>
  <si>
    <t>σ</t>
  </si>
  <si>
    <t>s</t>
  </si>
  <si>
    <t>Variance</t>
  </si>
  <si>
    <t xml:space="preserve">      </t>
  </si>
  <si>
    <r>
      <t>σ</t>
    </r>
    <r>
      <rPr>
        <b/>
        <i/>
        <vertAlign val="superscript"/>
        <sz val="18"/>
        <color theme="1"/>
        <rFont val="Calibri"/>
        <family val="2"/>
      </rPr>
      <t>2</t>
    </r>
  </si>
  <si>
    <r>
      <t>s</t>
    </r>
    <r>
      <rPr>
        <b/>
        <i/>
        <vertAlign val="superscript"/>
        <sz val="18"/>
        <color theme="1"/>
        <rFont val="Calibri"/>
        <family val="2"/>
      </rPr>
      <t>2</t>
    </r>
  </si>
  <si>
    <t>Central Limit Theorem:   The sampling distribution of the sample means is a normal distribution</t>
  </si>
  <si>
    <t>Central Limit Theorem:   The sampling distribution of the sample proportions is a normal distribution</t>
  </si>
  <si>
    <t xml:space="preserve">The sampling distribution of the sample variances is a Chi-squared distribution. </t>
  </si>
  <si>
    <t>Right-Tailed</t>
  </si>
  <si>
    <t>Two Tailed</t>
  </si>
  <si>
    <t>Left-Tailed</t>
  </si>
  <si>
    <r>
      <t xml:space="preserve">parameter 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i/>
        <sz val="18"/>
        <color rgb="FFFF0000"/>
        <rFont val="Calibri"/>
        <family val="2"/>
        <scheme val="minor"/>
      </rPr>
      <t>&gt;</t>
    </r>
    <r>
      <rPr>
        <b/>
        <i/>
        <sz val="11"/>
        <color theme="1"/>
        <rFont val="Calibri"/>
        <family val="2"/>
        <scheme val="minor"/>
      </rPr>
      <t xml:space="preserve">   a hypothesized value</t>
    </r>
  </si>
  <si>
    <r>
      <t xml:space="preserve">parameter  </t>
    </r>
    <r>
      <rPr>
        <b/>
        <i/>
        <sz val="18"/>
        <color rgb="FFFF0000"/>
        <rFont val="Calibri"/>
        <family val="2"/>
        <scheme val="minor"/>
      </rPr>
      <t>&lt;</t>
    </r>
    <r>
      <rPr>
        <b/>
        <i/>
        <sz val="11"/>
        <color theme="1"/>
        <rFont val="Calibri"/>
        <family val="2"/>
        <scheme val="minor"/>
      </rPr>
      <t xml:space="preserve">   a hypothesized value</t>
    </r>
  </si>
  <si>
    <r>
      <t xml:space="preserve">parameter  </t>
    </r>
    <r>
      <rPr>
        <b/>
        <sz val="18"/>
        <color rgb="FFFF0000"/>
        <rFont val="Calibri"/>
        <family val="2"/>
      </rPr>
      <t>≠</t>
    </r>
    <r>
      <rPr>
        <b/>
        <i/>
        <sz val="11"/>
        <color theme="1"/>
        <rFont val="Calibri"/>
        <family val="2"/>
        <scheme val="minor"/>
      </rPr>
      <t xml:space="preserve">   a hypothesized value</t>
    </r>
  </si>
  <si>
    <r>
      <t xml:space="preserve">parameter 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rgb="FFFF0000"/>
        <rFont val="Calibri"/>
        <family val="2"/>
      </rPr>
      <t>≤</t>
    </r>
    <r>
      <rPr>
        <b/>
        <i/>
        <sz val="11"/>
        <color theme="1"/>
        <rFont val="Calibri"/>
        <family val="2"/>
        <scheme val="minor"/>
      </rPr>
      <t xml:space="preserve">   a hypothesized value</t>
    </r>
  </si>
  <si>
    <r>
      <t xml:space="preserve">parameter  </t>
    </r>
    <r>
      <rPr>
        <b/>
        <sz val="18"/>
        <color rgb="FFFF0000"/>
        <rFont val="Calibri"/>
        <family val="2"/>
      </rPr>
      <t>≥</t>
    </r>
    <r>
      <rPr>
        <b/>
        <i/>
        <sz val="11"/>
        <color theme="1"/>
        <rFont val="Calibri"/>
        <family val="2"/>
        <scheme val="minor"/>
      </rPr>
      <t xml:space="preserve">   a hypothesized value</t>
    </r>
  </si>
  <si>
    <r>
      <t xml:space="preserve">parameter  </t>
    </r>
    <r>
      <rPr>
        <b/>
        <sz val="18"/>
        <color rgb="FFFF0000"/>
        <rFont val="Calibri"/>
        <family val="2"/>
      </rPr>
      <t>=</t>
    </r>
    <r>
      <rPr>
        <b/>
        <i/>
        <sz val="11"/>
        <color theme="1"/>
        <rFont val="Calibri"/>
        <family val="2"/>
        <scheme val="minor"/>
      </rPr>
      <t xml:space="preserve">   a hypothesized value</t>
    </r>
  </si>
  <si>
    <t>Claim:</t>
  </si>
  <si>
    <t>Status Quo:</t>
  </si>
  <si>
    <r>
      <t>Alternative  H</t>
    </r>
    <r>
      <rPr>
        <b/>
        <i/>
        <vertAlign val="subscript"/>
        <sz val="11"/>
        <color theme="1"/>
        <rFont val="Calibri"/>
        <family val="2"/>
        <scheme val="minor"/>
      </rPr>
      <t>A</t>
    </r>
    <r>
      <rPr>
        <b/>
        <i/>
        <sz val="11"/>
        <color theme="1"/>
        <rFont val="Calibri"/>
        <family val="2"/>
        <scheme val="minor"/>
      </rPr>
      <t xml:space="preserve">:    </t>
    </r>
  </si>
  <si>
    <r>
      <t>Null  H</t>
    </r>
    <r>
      <rPr>
        <b/>
        <i/>
        <vertAlign val="subscript"/>
        <sz val="11"/>
        <color theme="1"/>
        <rFont val="Calibri"/>
        <family val="2"/>
        <scheme val="minor"/>
      </rPr>
      <t>o</t>
    </r>
    <r>
      <rPr>
        <b/>
        <i/>
        <sz val="11"/>
        <color theme="1"/>
        <rFont val="Calibri"/>
        <family val="2"/>
        <scheme val="minor"/>
      </rPr>
      <t xml:space="preserve">:    </t>
    </r>
  </si>
  <si>
    <r>
      <t xml:space="preserve">For  - </t>
    </r>
    <r>
      <rPr>
        <b/>
        <i/>
        <sz val="14"/>
        <color theme="1"/>
        <rFont val="Calibri"/>
        <family val="2"/>
        <scheme val="minor"/>
      </rPr>
      <t>z</t>
    </r>
    <r>
      <rPr>
        <b/>
        <i/>
        <vertAlign val="subscript"/>
        <sz val="14"/>
        <color theme="1"/>
        <rFont val="Calibri"/>
        <family val="2"/>
      </rPr>
      <t>c</t>
    </r>
    <r>
      <rPr>
        <b/>
        <vertAlign val="subscript"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 xml:space="preserve">, enter:              </t>
    </r>
    <r>
      <rPr>
        <b/>
        <sz val="16"/>
        <color rgb="FF002060"/>
        <rFont val="Calibri"/>
        <family val="2"/>
      </rPr>
      <t xml:space="preserve">  =NORM.S.INV( (1 - c)/2 )</t>
    </r>
  </si>
  <si>
    <r>
      <t xml:space="preserve">For   </t>
    </r>
    <r>
      <rPr>
        <b/>
        <i/>
        <sz val="14"/>
        <color theme="1"/>
        <rFont val="Calibri"/>
        <family val="2"/>
        <scheme val="minor"/>
      </rPr>
      <t>z</t>
    </r>
    <r>
      <rPr>
        <b/>
        <i/>
        <vertAlign val="subscript"/>
        <sz val="14"/>
        <color theme="1"/>
        <rFont val="Calibri"/>
        <family val="2"/>
      </rPr>
      <t>c</t>
    </r>
    <r>
      <rPr>
        <b/>
        <vertAlign val="subscript"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 xml:space="preserve">, enter:              </t>
    </r>
    <r>
      <rPr>
        <b/>
        <sz val="16"/>
        <color rgb="FF002060"/>
        <rFont val="Calibri"/>
        <family val="2"/>
      </rPr>
      <t xml:space="preserve">  =NORM.S.INV( (1 + c)/2 )</t>
    </r>
  </si>
  <si>
    <r>
      <t xml:space="preserve">For  </t>
    </r>
    <r>
      <rPr>
        <b/>
        <sz val="11"/>
        <color theme="1"/>
        <rFont val="Calibri"/>
        <family val="2"/>
      </rP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 xml:space="preserve">L </t>
    </r>
    <r>
      <rPr>
        <b/>
        <sz val="11"/>
        <color theme="1"/>
        <rFont val="Calibri"/>
        <family val="2"/>
      </rPr>
      <t xml:space="preserve">, enter:              </t>
    </r>
    <r>
      <rPr>
        <b/>
        <sz val="16"/>
        <color rgb="FF002060"/>
        <rFont val="Calibri"/>
        <family val="2"/>
      </rPr>
      <t xml:space="preserve">  =CHISQ.INV( (1 - c)/2  ,  DF)</t>
    </r>
  </si>
  <si>
    <r>
      <t xml:space="preserve">For  </t>
    </r>
    <r>
      <rPr>
        <b/>
        <sz val="11"/>
        <color theme="1"/>
        <rFont val="Calibri"/>
        <family val="2"/>
      </rP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 xml:space="preserve">R </t>
    </r>
    <r>
      <rPr>
        <b/>
        <sz val="11"/>
        <color theme="1"/>
        <rFont val="Calibri"/>
        <family val="2"/>
      </rPr>
      <t xml:space="preserve">, enter:              </t>
    </r>
    <r>
      <rPr>
        <b/>
        <sz val="16"/>
        <color rgb="FF002060"/>
        <rFont val="Calibri"/>
        <family val="2"/>
      </rPr>
      <t xml:space="preserve">  =CHISQ.INV( (1 + c)/2  ,  DF)</t>
    </r>
  </si>
  <si>
    <r>
      <t xml:space="preserve">For  - </t>
    </r>
    <r>
      <rPr>
        <b/>
        <i/>
        <sz val="14"/>
        <color theme="1"/>
        <rFont val="Calibri"/>
        <family val="2"/>
        <scheme val="minor"/>
      </rPr>
      <t>t</t>
    </r>
    <r>
      <rPr>
        <b/>
        <i/>
        <vertAlign val="subscript"/>
        <sz val="14"/>
        <color theme="1"/>
        <rFont val="Calibri"/>
        <family val="2"/>
      </rPr>
      <t>c</t>
    </r>
    <r>
      <rPr>
        <b/>
        <vertAlign val="subscript"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 xml:space="preserve">, enter:              </t>
    </r>
    <r>
      <rPr>
        <b/>
        <sz val="16"/>
        <color rgb="FF002060"/>
        <rFont val="Calibri"/>
        <family val="2"/>
      </rPr>
      <t xml:space="preserve">  =T.INV( (1 - c)/2  ,  DF )</t>
    </r>
  </si>
  <si>
    <r>
      <t xml:space="preserve">For   </t>
    </r>
    <r>
      <rPr>
        <b/>
        <i/>
        <sz val="14"/>
        <color theme="1"/>
        <rFont val="Calibri"/>
        <family val="2"/>
        <scheme val="minor"/>
      </rPr>
      <t>t</t>
    </r>
    <r>
      <rPr>
        <b/>
        <i/>
        <vertAlign val="subscript"/>
        <sz val="14"/>
        <color theme="1"/>
        <rFont val="Calibri"/>
        <family val="2"/>
      </rPr>
      <t>c</t>
    </r>
    <r>
      <rPr>
        <b/>
        <vertAlign val="subscript"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 xml:space="preserve">, enter:               </t>
    </r>
    <r>
      <rPr>
        <b/>
        <sz val="16"/>
        <color rgb="FF002060"/>
        <rFont val="Calibri"/>
        <family val="2"/>
      </rPr>
      <t xml:space="preserve">  =T.INV( (1 + c)/2   ,  DF)</t>
    </r>
  </si>
  <si>
    <t>Central Limit Theorem</t>
  </si>
  <si>
    <t>For large size samples, the sampling distribution of the sample mean is</t>
  </si>
  <si>
    <t>approximately a normal distribution with,</t>
  </si>
  <si>
    <t>mean of the sampling distribution = mean of the population</t>
  </si>
  <si>
    <t>SD of the sampling distribution = SD of the population / Square-root of sample size</t>
  </si>
  <si>
    <t>2. What size sample is needed to estimate the mean to within 2 units?</t>
  </si>
  <si>
    <t xml:space="preserve">Reject Ho. There is sufficient evidence supporting the claim </t>
  </si>
  <si>
    <t xml:space="preserve">that the population mean is greater than 95. </t>
  </si>
  <si>
    <r>
      <t>Degrees of freedom</t>
    </r>
    <r>
      <rPr>
        <b/>
        <i/>
        <sz val="11"/>
        <color theme="1"/>
        <rFont val="Calibri"/>
        <family val="2"/>
        <scheme val="minor"/>
      </rPr>
      <t xml:space="preserve"> DF</t>
    </r>
  </si>
  <si>
    <t xml:space="preserve">We do not reject Ho. There is not sufficient evidence to </t>
  </si>
  <si>
    <t xml:space="preserve">conclude that the population mean is different than 95. </t>
  </si>
  <si>
    <r>
      <t>Make sure that</t>
    </r>
    <r>
      <rPr>
        <b/>
        <i/>
        <sz val="11"/>
        <color theme="1"/>
        <rFont val="Calibri"/>
        <family val="2"/>
        <scheme val="minor"/>
      </rPr>
      <t xml:space="preserve"> n*pHat </t>
    </r>
    <r>
      <rPr>
        <b/>
        <i/>
        <sz val="11"/>
        <color theme="1"/>
        <rFont val="Calibri"/>
        <family val="2"/>
      </rPr>
      <t>≥ 10</t>
    </r>
    <r>
      <rPr>
        <sz val="11"/>
        <color theme="1"/>
        <rFont val="Calibri"/>
        <family val="2"/>
      </rPr>
      <t xml:space="preserve"> and </t>
    </r>
    <r>
      <rPr>
        <b/>
        <i/>
        <sz val="11"/>
        <color theme="1"/>
        <rFont val="Calibri"/>
        <family val="2"/>
      </rPr>
      <t>n*qHat  ≥ 10</t>
    </r>
  </si>
  <si>
    <t>1. Costruct a 85% CI for the proportion of the scores that are less than 70</t>
  </si>
  <si>
    <t xml:space="preserve">Reject the Null Hypothesis. There is sufficient evidence at 0.1 level </t>
  </si>
  <si>
    <t>of significance to support the claim that p &lt; 45%.</t>
  </si>
  <si>
    <t xml:space="preserve">Reject H0. There is sufficient evidence to conclude that </t>
  </si>
  <si>
    <t xml:space="preserve">the population SD is greater than 15.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</si>
</sst>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"/>
    <numFmt numFmtId="165" formatCode="0.000"/>
    <numFmt numFmtId="166" formatCode="0.0%"/>
    <numFmt numFmtId="167" formatCode="0.00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</font>
    <font>
      <i/>
      <vertAlign val="superscript"/>
      <sz val="16"/>
      <color theme="1"/>
      <name val="Brush Script MT"/>
      <family val="4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4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vertAlign val="superscript"/>
      <sz val="18"/>
      <color theme="1"/>
      <name val="Calibri"/>
      <family val="2"/>
    </font>
    <font>
      <b/>
      <i/>
      <sz val="18"/>
      <color rgb="FFFF0000"/>
      <name val="Calibri"/>
      <family val="2"/>
      <scheme val="minor"/>
    </font>
    <font>
      <b/>
      <sz val="18"/>
      <color rgb="FFFF0000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6"/>
      <color rgb="FF002060"/>
      <name val="Calibri"/>
      <family val="2"/>
    </font>
    <font>
      <b/>
      <i/>
      <vertAlign val="subscript"/>
      <sz val="14"/>
      <color theme="1"/>
      <name val="Calibri"/>
      <family val="2"/>
    </font>
    <font>
      <b/>
      <sz val="18"/>
      <color theme="1"/>
      <name val="Calibri"/>
      <family val="2"/>
    </font>
    <font>
      <i/>
      <sz val="11"/>
      <color theme="1"/>
      <name val="MS Sans Serif"/>
      <charset val="1"/>
    </font>
    <font>
      <sz val="11"/>
      <color theme="1"/>
      <name val="MS Sans Serif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4" borderId="0" xfId="0" applyFont="1" applyFill="1" applyAlignment="1">
      <alignment horizontal="right"/>
    </xf>
    <xf numFmtId="2" fontId="2" fillId="4" borderId="0" xfId="0" applyNumberFormat="1" applyFont="1" applyFill="1" applyAlignment="1">
      <alignment horizontal="center"/>
    </xf>
    <xf numFmtId="0" fontId="14" fillId="0" borderId="0" xfId="0" applyFont="1"/>
    <xf numFmtId="0" fontId="0" fillId="0" borderId="0" xfId="0" quotePrefix="1" applyAlignment="1">
      <alignment wrapText="1"/>
    </xf>
    <xf numFmtId="0" fontId="15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18" fillId="0" borderId="0" xfId="0" applyFont="1" applyAlignment="1">
      <alignment horizontal="center"/>
    </xf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165" fontId="2" fillId="5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7" fontId="16" fillId="0" borderId="0" xfId="0" applyNumberFormat="1" applyFont="1" applyAlignment="1">
      <alignment horizontal="center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0182E2A-630F-4F33-BBB2-542D8A0C233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223958880139983"/>
          <c:h val="0.73569444444444443"/>
        </c:manualLayout>
      </c:layout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3B2-4B8F-B9C2-B76DFDB6DEBD}"/>
              </c:ext>
            </c:extLst>
          </c:dPt>
          <c:xVal>
            <c:numRef>
              <c:f>'large sample'!$R$2:$R$18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'large sample'!$S$2:$S$18</c:f>
              <c:numCache>
                <c:formatCode>General</c:formatCode>
                <c:ptCount val="17"/>
                <c:pt idx="0">
                  <c:v>1.3383022576488537E-4</c:v>
                </c:pt>
                <c:pt idx="1">
                  <c:v>8.7268269504576015E-4</c:v>
                </c:pt>
                <c:pt idx="2">
                  <c:v>4.4318484119380075E-3</c:v>
                </c:pt>
                <c:pt idx="3">
                  <c:v>1.752830049356854E-2</c:v>
                </c:pt>
                <c:pt idx="4">
                  <c:v>5.3990966513188063E-2</c:v>
                </c:pt>
                <c:pt idx="5">
                  <c:v>0.12951759566589174</c:v>
                </c:pt>
                <c:pt idx="6">
                  <c:v>0.24197072451914337</c:v>
                </c:pt>
                <c:pt idx="7">
                  <c:v>0.35206532676429952</c:v>
                </c:pt>
                <c:pt idx="8">
                  <c:v>0.3989422804014327</c:v>
                </c:pt>
                <c:pt idx="9">
                  <c:v>0.35206532676429952</c:v>
                </c:pt>
                <c:pt idx="10">
                  <c:v>0.24197072451914337</c:v>
                </c:pt>
                <c:pt idx="11">
                  <c:v>0.12951759566589174</c:v>
                </c:pt>
                <c:pt idx="12">
                  <c:v>5.3990966513188063E-2</c:v>
                </c:pt>
                <c:pt idx="13">
                  <c:v>1.752830049356854E-2</c:v>
                </c:pt>
                <c:pt idx="14">
                  <c:v>4.4318484119380075E-3</c:v>
                </c:pt>
                <c:pt idx="15">
                  <c:v>8.7268269504576015E-4</c:v>
                </c:pt>
                <c:pt idx="16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2-4B8F-B9C2-B76DFDB6DEBD}"/>
            </c:ext>
          </c:extLst>
        </c:ser>
        <c:ser>
          <c:idx val="1"/>
          <c:order val="1"/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476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3B2-4B8F-B9C2-B76DFDB6DEBD}"/>
              </c:ext>
            </c:extLst>
          </c:dPt>
          <c:xVal>
            <c:numRef>
              <c:f>'large sample'!$L$3:$L$4</c:f>
              <c:numCache>
                <c:formatCode>General</c:formatCode>
                <c:ptCount val="2"/>
                <c:pt idx="0">
                  <c:v>-1.6448536269514715</c:v>
                </c:pt>
                <c:pt idx="1">
                  <c:v>-1.6448536269514715</c:v>
                </c:pt>
              </c:numCache>
            </c:numRef>
          </c:xVal>
          <c:yVal>
            <c:numRef>
              <c:f>'large sample'!$M$3:$M$4</c:f>
              <c:numCache>
                <c:formatCode>General</c:formatCode>
                <c:ptCount val="2"/>
                <c:pt idx="0">
                  <c:v>0</c:v>
                </c:pt>
                <c:pt idx="1">
                  <c:v>0.10313564037537151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2-4B8F-B9C2-B76DFDB6DE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444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B2-4B8F-B9C2-B76DFDB6DEBD}"/>
              </c:ext>
            </c:extLst>
          </c:dPt>
          <c:xVal>
            <c:numRef>
              <c:f>'large sample'!$N$3:$N$4</c:f>
              <c:numCache>
                <c:formatCode>General</c:formatCode>
                <c:ptCount val="2"/>
                <c:pt idx="0">
                  <c:v>1.6448536269514715</c:v>
                </c:pt>
                <c:pt idx="1">
                  <c:v>1.6448536269514715</c:v>
                </c:pt>
              </c:numCache>
            </c:numRef>
          </c:xVal>
          <c:yVal>
            <c:numRef>
              <c:f>'large sample'!$O$3:$O$4</c:f>
              <c:numCache>
                <c:formatCode>General</c:formatCode>
                <c:ptCount val="2"/>
                <c:pt idx="0">
                  <c:v>0</c:v>
                </c:pt>
                <c:pt idx="1">
                  <c:v>0.10313564037537151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2-4B8F-B9C2-B76DFDB6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2360"/>
        <c:axId val="571015312"/>
      </c:scatterChart>
      <c:valAx>
        <c:axId val="5710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5312"/>
        <c:crosses val="autoZero"/>
        <c:crossBetween val="midCat"/>
      </c:valAx>
      <c:valAx>
        <c:axId val="57101531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2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Chi-squared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SD!$R$2:$R$17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SD!$S$2:$S$17</c:f>
              <c:numCache>
                <c:formatCode>General</c:formatCode>
                <c:ptCount val="16"/>
                <c:pt idx="0">
                  <c:v>0</c:v>
                </c:pt>
                <c:pt idx="1">
                  <c:v>1.5328310048810093E-3</c:v>
                </c:pt>
                <c:pt idx="2">
                  <c:v>1.8044704431548358E-2</c:v>
                </c:pt>
                <c:pt idx="3">
                  <c:v>5.0409406722462261E-2</c:v>
                </c:pt>
                <c:pt idx="4">
                  <c:v>7.8146725925265864E-2</c:v>
                </c:pt>
                <c:pt idx="5">
                  <c:v>8.7733684883925356E-2</c:v>
                </c:pt>
                <c:pt idx="6">
                  <c:v>8.0311570523990017E-2</c:v>
                </c:pt>
                <c:pt idx="7">
                  <c:v>6.3858334146144807E-2</c:v>
                </c:pt>
                <c:pt idx="8">
                  <c:v>4.5801830796289619E-2</c:v>
                </c:pt>
                <c:pt idx="9">
                  <c:v>3.036343967297641E-2</c:v>
                </c:pt>
                <c:pt idx="10">
                  <c:v>1.8916637401035358E-2</c:v>
                </c:pt>
                <c:pt idx="11">
                  <c:v>1.1207606724874392E-2</c:v>
                </c:pt>
                <c:pt idx="12">
                  <c:v>6.3703193679306861E-3</c:v>
                </c:pt>
                <c:pt idx="13">
                  <c:v>3.4968520271092345E-3</c:v>
                </c:pt>
                <c:pt idx="14">
                  <c:v>1.8634004242631572E-3</c:v>
                </c:pt>
                <c:pt idx="15">
                  <c:v>9.6789406096280768E-4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C-4596-B1B8-A3D488F476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EC-4596-B1B8-A3D488F4766D}"/>
              </c:ext>
            </c:extLst>
          </c:dPt>
          <c:xVal>
            <c:numRef>
              <c:f>SD!$K$21:$K$22</c:f>
              <c:numCache>
                <c:formatCode>0.000</c:formatCode>
                <c:ptCount val="2"/>
                <c:pt idx="0">
                  <c:v>18.549347786703244</c:v>
                </c:pt>
                <c:pt idx="1">
                  <c:v>18.549347786703244</c:v>
                </c:pt>
              </c:numCache>
            </c:numRef>
          </c:xVal>
          <c:yVal>
            <c:numRef>
              <c:f>SD!$L$21:$L$22</c:f>
              <c:numCache>
                <c:formatCode>General</c:formatCode>
                <c:ptCount val="2"/>
                <c:pt idx="0">
                  <c:v>0</c:v>
                </c:pt>
                <c:pt idx="1">
                  <c:v>2.6812808512966607E-2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EC-4596-B1B8-A3D488F4766D}"/>
            </c:ext>
          </c:extLst>
        </c:ser>
        <c:ser>
          <c:idx val="2"/>
          <c:order val="2"/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SD!$M$21:$M$22</c:f>
              <c:numCache>
                <c:formatCode>0.000</c:formatCode>
                <c:ptCount val="2"/>
                <c:pt idx="0">
                  <c:v>22.038974358974375</c:v>
                </c:pt>
                <c:pt idx="1">
                  <c:v>22.038974358974375</c:v>
                </c:pt>
              </c:numCache>
            </c:numRef>
          </c:xVal>
          <c:yVal>
            <c:numRef>
              <c:f>SD!$N$21:$N$22</c:f>
              <c:numCache>
                <c:formatCode>General</c:formatCode>
                <c:ptCount val="2"/>
                <c:pt idx="0">
                  <c:v>0</c:v>
                </c:pt>
                <c:pt idx="1">
                  <c:v>1.10890209161804E-2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EC-4596-B1B8-A3D488F4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74296"/>
        <c:axId val="700712328"/>
      </c:scatterChart>
      <c:valAx>
        <c:axId val="7307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2328"/>
        <c:crosses val="autoZero"/>
        <c:crossBetween val="midCat"/>
      </c:valAx>
      <c:valAx>
        <c:axId val="700712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07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223958880139983"/>
          <c:h val="0.73569444444444443"/>
        </c:manualLayout>
      </c:layout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0AE-4161-B9B3-8C4D95851E0D}"/>
              </c:ext>
            </c:extLst>
          </c:dPt>
          <c:xVal>
            <c:numRef>
              <c:f>'large sample'!$R$2:$R$18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'large sample'!$S$2:$S$18</c:f>
              <c:numCache>
                <c:formatCode>General</c:formatCode>
                <c:ptCount val="17"/>
                <c:pt idx="0">
                  <c:v>1.3383022576488537E-4</c:v>
                </c:pt>
                <c:pt idx="1">
                  <c:v>8.7268269504576015E-4</c:v>
                </c:pt>
                <c:pt idx="2">
                  <c:v>4.4318484119380075E-3</c:v>
                </c:pt>
                <c:pt idx="3">
                  <c:v>1.752830049356854E-2</c:v>
                </c:pt>
                <c:pt idx="4">
                  <c:v>5.3990966513188063E-2</c:v>
                </c:pt>
                <c:pt idx="5">
                  <c:v>0.12951759566589174</c:v>
                </c:pt>
                <c:pt idx="6">
                  <c:v>0.24197072451914337</c:v>
                </c:pt>
                <c:pt idx="7">
                  <c:v>0.35206532676429952</c:v>
                </c:pt>
                <c:pt idx="8">
                  <c:v>0.3989422804014327</c:v>
                </c:pt>
                <c:pt idx="9">
                  <c:v>0.35206532676429952</c:v>
                </c:pt>
                <c:pt idx="10">
                  <c:v>0.24197072451914337</c:v>
                </c:pt>
                <c:pt idx="11">
                  <c:v>0.12951759566589174</c:v>
                </c:pt>
                <c:pt idx="12">
                  <c:v>5.3990966513188063E-2</c:v>
                </c:pt>
                <c:pt idx="13">
                  <c:v>1.752830049356854E-2</c:v>
                </c:pt>
                <c:pt idx="14">
                  <c:v>4.4318484119380075E-3</c:v>
                </c:pt>
                <c:pt idx="15">
                  <c:v>8.7268269504576015E-4</c:v>
                </c:pt>
                <c:pt idx="16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E-4161-B9B3-8C4D95851E0D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E-4161-B9B3-8C4D95851E0D}"/>
              </c:ext>
            </c:extLst>
          </c:dPt>
          <c:xVal>
            <c:numRef>
              <c:f>'large sample'!$L$21:$L$22</c:f>
              <c:numCache>
                <c:formatCode>0.000</c:formatCode>
                <c:ptCount val="2"/>
                <c:pt idx="0">
                  <c:v>1.2815515655446006</c:v>
                </c:pt>
                <c:pt idx="1">
                  <c:v>1.2815515655446006</c:v>
                </c:pt>
              </c:numCache>
            </c:numRef>
          </c:xVal>
          <c:yVal>
            <c:numRef>
              <c:f>'large sample'!$M$21:$M$22</c:f>
              <c:numCache>
                <c:formatCode>General</c:formatCode>
                <c:ptCount val="2"/>
                <c:pt idx="0">
                  <c:v>0</c:v>
                </c:pt>
                <c:pt idx="1">
                  <c:v>0.17549833193248679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AE-4161-B9B3-8C4D95851E0D}"/>
            </c:ext>
          </c:extLst>
        </c:ser>
        <c:ser>
          <c:idx val="2"/>
          <c:order val="2"/>
          <c:spPr>
            <a:ln w="444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4127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0AE-4161-B9B3-8C4D95851E0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349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0AE-4161-B9B3-8C4D95851E0D}"/>
              </c:ext>
            </c:extLst>
          </c:dPt>
          <c:xVal>
            <c:numRef>
              <c:f>'large sample'!$O$21:$O$22</c:f>
              <c:numCache>
                <c:formatCode>0.000</c:formatCode>
                <c:ptCount val="2"/>
                <c:pt idx="0">
                  <c:v>1.866266915560467</c:v>
                </c:pt>
                <c:pt idx="1">
                  <c:v>1.866266915560467</c:v>
                </c:pt>
              </c:numCache>
            </c:numRef>
          </c:xVal>
          <c:yVal>
            <c:numRef>
              <c:f>'large sample'!$P$21:$P$22</c:f>
              <c:numCache>
                <c:formatCode>General</c:formatCode>
                <c:ptCount val="2"/>
                <c:pt idx="0">
                  <c:v>0</c:v>
                </c:pt>
                <c:pt idx="1">
                  <c:v>6.9919224897214097E-2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AE-4161-B9B3-8C4D9585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2360"/>
        <c:axId val="571015312"/>
      </c:scatterChart>
      <c:valAx>
        <c:axId val="5710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5312"/>
        <c:crosses val="autoZero"/>
        <c:crossBetween val="midCat"/>
      </c:valAx>
      <c:valAx>
        <c:axId val="57101531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2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223958880139983"/>
          <c:h val="0.73569444444444443"/>
        </c:manualLayout>
      </c:layout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27C-4168-AC97-0335DD826809}"/>
              </c:ext>
            </c:extLst>
          </c:dPt>
          <c:xVal>
            <c:numRef>
              <c:f>'large sample'!$R$2:$R$18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'large sample'!$S$2:$S$18</c:f>
              <c:numCache>
                <c:formatCode>General</c:formatCode>
                <c:ptCount val="17"/>
                <c:pt idx="0">
                  <c:v>1.3383022576488537E-4</c:v>
                </c:pt>
                <c:pt idx="1">
                  <c:v>8.7268269504576015E-4</c:v>
                </c:pt>
                <c:pt idx="2">
                  <c:v>4.4318484119380075E-3</c:v>
                </c:pt>
                <c:pt idx="3">
                  <c:v>1.752830049356854E-2</c:v>
                </c:pt>
                <c:pt idx="4">
                  <c:v>5.3990966513188063E-2</c:v>
                </c:pt>
                <c:pt idx="5">
                  <c:v>0.12951759566589174</c:v>
                </c:pt>
                <c:pt idx="6">
                  <c:v>0.24197072451914337</c:v>
                </c:pt>
                <c:pt idx="7">
                  <c:v>0.35206532676429952</c:v>
                </c:pt>
                <c:pt idx="8">
                  <c:v>0.3989422804014327</c:v>
                </c:pt>
                <c:pt idx="9">
                  <c:v>0.35206532676429952</c:v>
                </c:pt>
                <c:pt idx="10">
                  <c:v>0.24197072451914337</c:v>
                </c:pt>
                <c:pt idx="11">
                  <c:v>0.12951759566589174</c:v>
                </c:pt>
                <c:pt idx="12">
                  <c:v>5.3990966513188063E-2</c:v>
                </c:pt>
                <c:pt idx="13">
                  <c:v>1.752830049356854E-2</c:v>
                </c:pt>
                <c:pt idx="14">
                  <c:v>4.4318484119380075E-3</c:v>
                </c:pt>
                <c:pt idx="15">
                  <c:v>8.7268269504576015E-4</c:v>
                </c:pt>
                <c:pt idx="16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7C-4168-AC97-0335DD82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2360"/>
        <c:axId val="571015312"/>
      </c:scatterChart>
      <c:valAx>
        <c:axId val="5710123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5312"/>
        <c:crosses val="autoZero"/>
        <c:crossBetween val="midCat"/>
      </c:valAx>
      <c:valAx>
        <c:axId val="571015312"/>
        <c:scaling>
          <c:orientation val="minMax"/>
          <c:max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1012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Chi-squared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SD!$R$2:$R$17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SD!$S$2:$S$17</c:f>
              <c:numCache>
                <c:formatCode>General</c:formatCode>
                <c:ptCount val="16"/>
                <c:pt idx="0">
                  <c:v>0</c:v>
                </c:pt>
                <c:pt idx="1">
                  <c:v>1.5328310048810093E-3</c:v>
                </c:pt>
                <c:pt idx="2">
                  <c:v>1.8044704431548358E-2</c:v>
                </c:pt>
                <c:pt idx="3">
                  <c:v>5.0409406722462261E-2</c:v>
                </c:pt>
                <c:pt idx="4">
                  <c:v>7.8146725925265864E-2</c:v>
                </c:pt>
                <c:pt idx="5">
                  <c:v>8.7733684883925356E-2</c:v>
                </c:pt>
                <c:pt idx="6">
                  <c:v>8.0311570523990017E-2</c:v>
                </c:pt>
                <c:pt idx="7">
                  <c:v>6.3858334146144807E-2</c:v>
                </c:pt>
                <c:pt idx="8">
                  <c:v>4.5801830796289619E-2</c:v>
                </c:pt>
                <c:pt idx="9">
                  <c:v>3.036343967297641E-2</c:v>
                </c:pt>
                <c:pt idx="10">
                  <c:v>1.8916637401035358E-2</c:v>
                </c:pt>
                <c:pt idx="11">
                  <c:v>1.1207606724874392E-2</c:v>
                </c:pt>
                <c:pt idx="12">
                  <c:v>6.3703193679306861E-3</c:v>
                </c:pt>
                <c:pt idx="13">
                  <c:v>3.4968520271092345E-3</c:v>
                </c:pt>
                <c:pt idx="14">
                  <c:v>1.8634004242631572E-3</c:v>
                </c:pt>
                <c:pt idx="15">
                  <c:v>9.6789406096280768E-4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B-425B-9BA5-4DCB5464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74296"/>
        <c:axId val="700712328"/>
      </c:scatterChart>
      <c:valAx>
        <c:axId val="730774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712328"/>
        <c:crosses val="autoZero"/>
        <c:crossBetween val="midCat"/>
      </c:valAx>
      <c:valAx>
        <c:axId val="70071232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07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223958880139983"/>
          <c:h val="0.73569444444444443"/>
        </c:manualLayout>
      </c:layout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CB-4CC0-9122-A2C1CE1E3544}"/>
              </c:ext>
            </c:extLst>
          </c:dPt>
          <c:xVal>
            <c:numRef>
              <c:f>'small sample'!$R$2:$R$18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'small sample'!$S$2:$S$18</c:f>
              <c:numCache>
                <c:formatCode>General</c:formatCode>
                <c:ptCount val="17"/>
                <c:pt idx="0">
                  <c:v>5.1237270519179116E-3</c:v>
                </c:pt>
                <c:pt idx="1">
                  <c:v>9.244354092520923E-3</c:v>
                </c:pt>
                <c:pt idx="2">
                  <c:v>1.7292578800222964E-2</c:v>
                </c:pt>
                <c:pt idx="3">
                  <c:v>3.3326238887022831E-2</c:v>
                </c:pt>
                <c:pt idx="4">
                  <c:v>6.5090310326216497E-2</c:v>
                </c:pt>
                <c:pt idx="5">
                  <c:v>0.12451734464635514</c:v>
                </c:pt>
                <c:pt idx="6">
                  <c:v>0.2196797973509807</c:v>
                </c:pt>
                <c:pt idx="7">
                  <c:v>0.32791853132274656</c:v>
                </c:pt>
                <c:pt idx="8">
                  <c:v>0.37960668982249451</c:v>
                </c:pt>
                <c:pt idx="9">
                  <c:v>0.32791853132274656</c:v>
                </c:pt>
                <c:pt idx="10">
                  <c:v>0.2196797973509807</c:v>
                </c:pt>
                <c:pt idx="11">
                  <c:v>0.12451734464635514</c:v>
                </c:pt>
                <c:pt idx="12">
                  <c:v>6.5090310326216497E-2</c:v>
                </c:pt>
                <c:pt idx="13">
                  <c:v>3.3326238887022831E-2</c:v>
                </c:pt>
                <c:pt idx="14">
                  <c:v>1.7292578800222964E-2</c:v>
                </c:pt>
                <c:pt idx="15">
                  <c:v>9.244354092520923E-3</c:v>
                </c:pt>
                <c:pt idx="16">
                  <c:v>5.1237270519179116E-3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CC0-9122-A2C1CE1E3544}"/>
            </c:ext>
          </c:extLst>
        </c:ser>
        <c:ser>
          <c:idx val="1"/>
          <c:order val="1"/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476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B-4CC0-9122-A2C1CE1E3544}"/>
              </c:ext>
            </c:extLst>
          </c:dPt>
          <c:xVal>
            <c:numRef>
              <c:f>'small sample'!$L$3:$L$4</c:f>
              <c:numCache>
                <c:formatCode>General</c:formatCode>
                <c:ptCount val="2"/>
                <c:pt idx="0">
                  <c:v>-2.0150483733330233</c:v>
                </c:pt>
                <c:pt idx="1">
                  <c:v>-2.0150483733330233</c:v>
                </c:pt>
              </c:numCache>
            </c:numRef>
          </c:xVal>
          <c:yVal>
            <c:numRef>
              <c:f>'small sample'!$M$3:$M$4</c:f>
              <c:numCache>
                <c:formatCode>General</c:formatCode>
                <c:ptCount val="2"/>
                <c:pt idx="0">
                  <c:v>0</c:v>
                </c:pt>
                <c:pt idx="1">
                  <c:v>6.3796798894974832E-2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CB-4CC0-9122-A2C1CE1E35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444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CB-4CC0-9122-A2C1CE1E3544}"/>
              </c:ext>
            </c:extLst>
          </c:dPt>
          <c:xVal>
            <c:numRef>
              <c:f>'small sample'!$N$3:$N$4</c:f>
              <c:numCache>
                <c:formatCode>General</c:formatCode>
                <c:ptCount val="2"/>
                <c:pt idx="0">
                  <c:v>2.0150483733330233</c:v>
                </c:pt>
                <c:pt idx="1">
                  <c:v>2.0150483733330233</c:v>
                </c:pt>
              </c:numCache>
            </c:numRef>
          </c:xVal>
          <c:yVal>
            <c:numRef>
              <c:f>'small sample'!$O$3:$O$4</c:f>
              <c:numCache>
                <c:formatCode>General</c:formatCode>
                <c:ptCount val="2"/>
                <c:pt idx="0">
                  <c:v>0</c:v>
                </c:pt>
                <c:pt idx="1">
                  <c:v>6.3796798894974832E-2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CB-4CC0-9122-A2C1CE1E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2360"/>
        <c:axId val="571015312"/>
      </c:scatterChart>
      <c:valAx>
        <c:axId val="5710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5312"/>
        <c:crosses val="autoZero"/>
        <c:crossBetween val="midCat"/>
      </c:valAx>
      <c:valAx>
        <c:axId val="571015312"/>
        <c:scaling>
          <c:orientation val="minMax"/>
          <c:max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1012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223958880139983"/>
          <c:h val="0.73569444444444443"/>
        </c:manualLayout>
      </c:layout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97A-4110-9CFC-DFB4719D0898}"/>
              </c:ext>
            </c:extLst>
          </c:dPt>
          <c:xVal>
            <c:numRef>
              <c:f>'small sample'!$R$2:$R$18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'small sample'!$S$2:$S$18</c:f>
              <c:numCache>
                <c:formatCode>General</c:formatCode>
                <c:ptCount val="17"/>
                <c:pt idx="0">
                  <c:v>5.1237270519179116E-3</c:v>
                </c:pt>
                <c:pt idx="1">
                  <c:v>9.244354092520923E-3</c:v>
                </c:pt>
                <c:pt idx="2">
                  <c:v>1.7292578800222964E-2</c:v>
                </c:pt>
                <c:pt idx="3">
                  <c:v>3.3326238887022831E-2</c:v>
                </c:pt>
                <c:pt idx="4">
                  <c:v>6.5090310326216497E-2</c:v>
                </c:pt>
                <c:pt idx="5">
                  <c:v>0.12451734464635514</c:v>
                </c:pt>
                <c:pt idx="6">
                  <c:v>0.2196797973509807</c:v>
                </c:pt>
                <c:pt idx="7">
                  <c:v>0.32791853132274656</c:v>
                </c:pt>
                <c:pt idx="8">
                  <c:v>0.37960668982249451</c:v>
                </c:pt>
                <c:pt idx="9">
                  <c:v>0.32791853132274656</c:v>
                </c:pt>
                <c:pt idx="10">
                  <c:v>0.2196797973509807</c:v>
                </c:pt>
                <c:pt idx="11">
                  <c:v>0.12451734464635514</c:v>
                </c:pt>
                <c:pt idx="12">
                  <c:v>6.5090310326216497E-2</c:v>
                </c:pt>
                <c:pt idx="13">
                  <c:v>3.3326238887022831E-2</c:v>
                </c:pt>
                <c:pt idx="14">
                  <c:v>1.7292578800222964E-2</c:v>
                </c:pt>
                <c:pt idx="15">
                  <c:v>9.244354092520923E-3</c:v>
                </c:pt>
                <c:pt idx="16">
                  <c:v>5.1237270519179116E-3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7A-4110-9CFC-DFB4719D0898}"/>
            </c:ext>
          </c:extLst>
        </c:ser>
        <c:ser>
          <c:idx val="1"/>
          <c:order val="1"/>
          <c:tx>
            <c:v>series 2</c:v>
          </c:tx>
          <c:spPr>
            <a:ln w="412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222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97A-4110-9CFC-DFB4719D089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317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97A-4110-9CFC-DFB4719D0898}"/>
              </c:ext>
            </c:extLst>
          </c:dPt>
          <c:xVal>
            <c:numRef>
              <c:f>'small sample'!$L$21:$L$22</c:f>
              <c:numCache>
                <c:formatCode>0.000</c:formatCode>
                <c:ptCount val="2"/>
                <c:pt idx="0">
                  <c:v>2.570581835636315</c:v>
                </c:pt>
                <c:pt idx="1">
                  <c:v>2.570581835636315</c:v>
                </c:pt>
              </c:numCache>
            </c:numRef>
          </c:xVal>
          <c:yVal>
            <c:numRef>
              <c:f>'small sample'!$M$21:$M$22</c:f>
              <c:numCache>
                <c:formatCode>General</c:formatCode>
                <c:ptCount val="2"/>
                <c:pt idx="0">
                  <c:v>0</c:v>
                </c:pt>
                <c:pt idx="1">
                  <c:v>1.4656314389140125E-2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7A-4110-9CFC-DFB4719D0898}"/>
            </c:ext>
          </c:extLst>
        </c:ser>
        <c:ser>
          <c:idx val="2"/>
          <c:order val="2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'small sample'!$O$21:$O$22</c:f>
              <c:numCache>
                <c:formatCode>0.000</c:formatCode>
                <c:ptCount val="2"/>
                <c:pt idx="0">
                  <c:v>-2.570581835636315</c:v>
                </c:pt>
                <c:pt idx="1">
                  <c:v>-2.570581835636315</c:v>
                </c:pt>
              </c:numCache>
            </c:numRef>
          </c:xVal>
          <c:yVal>
            <c:numRef>
              <c:f>'small sample'!$P$21:$P$22</c:f>
              <c:numCache>
                <c:formatCode>General</c:formatCode>
                <c:ptCount val="2"/>
                <c:pt idx="0">
                  <c:v>0</c:v>
                </c:pt>
                <c:pt idx="1">
                  <c:v>1.4656314389140125E-2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7A-4110-9CFC-DFB4719D0898}"/>
            </c:ext>
          </c:extLst>
        </c:ser>
        <c:ser>
          <c:idx val="3"/>
          <c:order val="3"/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31750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97A-4110-9CFC-DFB4719D089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25400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97A-4110-9CFC-DFB4719D0898}"/>
              </c:ext>
            </c:extLst>
          </c:dPt>
          <c:xVal>
            <c:numRef>
              <c:f>'small sample'!$L$24:$L$25</c:f>
              <c:numCache>
                <c:formatCode>0.000</c:formatCode>
                <c:ptCount val="2"/>
                <c:pt idx="0">
                  <c:v>1.2024072240843033</c:v>
                </c:pt>
                <c:pt idx="1">
                  <c:v>1.2024072240843033</c:v>
                </c:pt>
              </c:numCache>
            </c:numRef>
          </c:xVal>
          <c:yVal>
            <c:numRef>
              <c:f>'small sample'!$M$24:$M$25</c:f>
              <c:numCache>
                <c:formatCode>General</c:formatCode>
                <c:ptCount val="2"/>
                <c:pt idx="0">
                  <c:v>0</c:v>
                </c:pt>
                <c:pt idx="1">
                  <c:v>0.1936253641654738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97A-4110-9CFC-DFB4719D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2360"/>
        <c:axId val="571015312"/>
      </c:scatterChart>
      <c:valAx>
        <c:axId val="5710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5312"/>
        <c:crosses val="autoZero"/>
        <c:crossBetween val="midCat"/>
      </c:valAx>
      <c:valAx>
        <c:axId val="571015312"/>
        <c:scaling>
          <c:orientation val="minMax"/>
          <c:max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1012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223958880139983"/>
          <c:h val="0.73569444444444443"/>
        </c:manualLayout>
      </c:layout>
      <c:scatterChart>
        <c:scatterStyle val="smoothMarker"/>
        <c:varyColors val="0"/>
        <c:ser>
          <c:idx val="0"/>
          <c:order val="0"/>
          <c:spPr>
            <a:ln w="666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proportion!$P$2:$P$18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proportion!$Q$2:$Q$18</c:f>
              <c:numCache>
                <c:formatCode>General</c:formatCode>
                <c:ptCount val="17"/>
                <c:pt idx="0">
                  <c:v>1.3383022576488537E-4</c:v>
                </c:pt>
                <c:pt idx="1">
                  <c:v>8.7268269504576015E-4</c:v>
                </c:pt>
                <c:pt idx="2">
                  <c:v>4.4318484119380075E-3</c:v>
                </c:pt>
                <c:pt idx="3">
                  <c:v>1.752830049356854E-2</c:v>
                </c:pt>
                <c:pt idx="4">
                  <c:v>5.3990966513188063E-2</c:v>
                </c:pt>
                <c:pt idx="5">
                  <c:v>0.12951759566589174</c:v>
                </c:pt>
                <c:pt idx="6">
                  <c:v>0.24197072451914337</c:v>
                </c:pt>
                <c:pt idx="7">
                  <c:v>0.35206532676429952</c:v>
                </c:pt>
                <c:pt idx="8">
                  <c:v>0.3989422804014327</c:v>
                </c:pt>
                <c:pt idx="9">
                  <c:v>0.35206532676429952</c:v>
                </c:pt>
                <c:pt idx="10">
                  <c:v>0.24197072451914337</c:v>
                </c:pt>
                <c:pt idx="11">
                  <c:v>0.12951759566589174</c:v>
                </c:pt>
                <c:pt idx="12">
                  <c:v>5.3990966513188063E-2</c:v>
                </c:pt>
                <c:pt idx="13">
                  <c:v>1.752830049356854E-2</c:v>
                </c:pt>
                <c:pt idx="14">
                  <c:v>4.4318484119380075E-3</c:v>
                </c:pt>
                <c:pt idx="15">
                  <c:v>8.7268269504576015E-4</c:v>
                </c:pt>
                <c:pt idx="16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E-47C5-B049-BEFAF7F4D2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444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E-47C5-B049-BEFAF7F4D277}"/>
              </c:ext>
            </c:extLst>
          </c:dPt>
          <c:xVal>
            <c:numRef>
              <c:f>proportion!$K$4:$K$5</c:f>
              <c:numCache>
                <c:formatCode>0.000</c:formatCode>
                <c:ptCount val="2"/>
                <c:pt idx="0">
                  <c:v>-1.4395314709384563</c:v>
                </c:pt>
                <c:pt idx="1">
                  <c:v>-1.4395314709384563</c:v>
                </c:pt>
              </c:numCache>
            </c:numRef>
          </c:xVal>
          <c:yVal>
            <c:numRef>
              <c:f>proportion!$L$4:$L$5</c:f>
              <c:numCache>
                <c:formatCode>General</c:formatCode>
                <c:ptCount val="2"/>
                <c:pt idx="0">
                  <c:v>0</c:v>
                </c:pt>
                <c:pt idx="1">
                  <c:v>0.14155542236181407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8E-47C5-B049-BEFAF7F4D27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8E-47C5-B049-BEFAF7F4D277}"/>
              </c:ext>
            </c:extLst>
          </c:dPt>
          <c:xVal>
            <c:numRef>
              <c:f>proportion!$M$4:$M$5</c:f>
              <c:numCache>
                <c:formatCode>0.000</c:formatCode>
                <c:ptCount val="2"/>
                <c:pt idx="0">
                  <c:v>1.4395314709384563</c:v>
                </c:pt>
                <c:pt idx="1">
                  <c:v>1.4395314709384563</c:v>
                </c:pt>
              </c:numCache>
            </c:numRef>
          </c:xVal>
          <c:yVal>
            <c:numRef>
              <c:f>proportion!$N$4:$N$5</c:f>
              <c:numCache>
                <c:formatCode>General</c:formatCode>
                <c:ptCount val="2"/>
                <c:pt idx="0">
                  <c:v>0</c:v>
                </c:pt>
                <c:pt idx="1">
                  <c:v>0.14155542236181407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8E-47C5-B049-BEFAF7F4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2360"/>
        <c:axId val="571015312"/>
      </c:scatterChart>
      <c:valAx>
        <c:axId val="5710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5312"/>
        <c:crosses val="autoZero"/>
        <c:crossBetween val="midCat"/>
      </c:valAx>
      <c:valAx>
        <c:axId val="571015312"/>
        <c:scaling>
          <c:orientation val="minMax"/>
          <c:max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1012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6"/>
          <c:w val="0.9223958880139983"/>
          <c:h val="0.73569444444444443"/>
        </c:manualLayout>
      </c:layout>
      <c:scatterChart>
        <c:scatterStyle val="smoothMarker"/>
        <c:varyColors val="0"/>
        <c:ser>
          <c:idx val="0"/>
          <c:order val="0"/>
          <c:spPr>
            <a:ln w="666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proportion!$P$2:$P$18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proportion!$Q$2:$Q$18</c:f>
              <c:numCache>
                <c:formatCode>General</c:formatCode>
                <c:ptCount val="17"/>
                <c:pt idx="0">
                  <c:v>1.3383022576488537E-4</c:v>
                </c:pt>
                <c:pt idx="1">
                  <c:v>8.7268269504576015E-4</c:v>
                </c:pt>
                <c:pt idx="2">
                  <c:v>4.4318484119380075E-3</c:v>
                </c:pt>
                <c:pt idx="3">
                  <c:v>1.752830049356854E-2</c:v>
                </c:pt>
                <c:pt idx="4">
                  <c:v>5.3990966513188063E-2</c:v>
                </c:pt>
                <c:pt idx="5">
                  <c:v>0.12951759566589174</c:v>
                </c:pt>
                <c:pt idx="6">
                  <c:v>0.24197072451914337</c:v>
                </c:pt>
                <c:pt idx="7">
                  <c:v>0.35206532676429952</c:v>
                </c:pt>
                <c:pt idx="8">
                  <c:v>0.3989422804014327</c:v>
                </c:pt>
                <c:pt idx="9">
                  <c:v>0.35206532676429952</c:v>
                </c:pt>
                <c:pt idx="10">
                  <c:v>0.24197072451914337</c:v>
                </c:pt>
                <c:pt idx="11">
                  <c:v>0.12951759566589174</c:v>
                </c:pt>
                <c:pt idx="12">
                  <c:v>5.3990966513188063E-2</c:v>
                </c:pt>
                <c:pt idx="13">
                  <c:v>1.752830049356854E-2</c:v>
                </c:pt>
                <c:pt idx="14">
                  <c:v>4.4318484119380075E-3</c:v>
                </c:pt>
                <c:pt idx="15">
                  <c:v>8.7268269504576015E-4</c:v>
                </c:pt>
                <c:pt idx="16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3-4C91-8005-DDBD971FAE27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31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13-4C91-8005-DDBD971FAE2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13-4C91-8005-DDBD971FAE27}"/>
              </c:ext>
            </c:extLst>
          </c:dPt>
          <c:xVal>
            <c:numRef>
              <c:f>proportion!$L$23:$L$24</c:f>
              <c:numCache>
                <c:formatCode>0.000</c:formatCode>
                <c:ptCount val="2"/>
                <c:pt idx="0">
                  <c:v>-1.2815515655446006</c:v>
                </c:pt>
                <c:pt idx="1">
                  <c:v>-1.2815515655446006</c:v>
                </c:pt>
              </c:numCache>
            </c:numRef>
          </c:xVal>
          <c:yVal>
            <c:numRef>
              <c:f>proportion!$M$23:$M$24</c:f>
              <c:numCache>
                <c:formatCode>General</c:formatCode>
                <c:ptCount val="2"/>
                <c:pt idx="0">
                  <c:v>0</c:v>
                </c:pt>
                <c:pt idx="1">
                  <c:v>0.17549833193248679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13-4C91-8005-DDBD971FAE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2857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13-4C91-8005-DDBD971FAE27}"/>
              </c:ext>
            </c:extLst>
          </c:dPt>
          <c:xVal>
            <c:numRef>
              <c:f>proportion!$N$23:$N$24</c:f>
              <c:numCache>
                <c:formatCode>0.000</c:formatCode>
                <c:ptCount val="2"/>
                <c:pt idx="0">
                  <c:v>-1.4472888726672539</c:v>
                </c:pt>
                <c:pt idx="1">
                  <c:v>-1.4472888726672539</c:v>
                </c:pt>
              </c:numCache>
            </c:numRef>
          </c:xVal>
          <c:yVal>
            <c:numRef>
              <c:f>proportion!$O$23:$O$24</c:f>
              <c:numCache>
                <c:formatCode>General</c:formatCode>
                <c:ptCount val="2"/>
                <c:pt idx="0">
                  <c:v>0</c:v>
                </c:pt>
                <c:pt idx="1">
                  <c:v>0.13997925111500076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13-4C91-8005-DDBD971F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2360"/>
        <c:axId val="571015312"/>
      </c:scatterChart>
      <c:valAx>
        <c:axId val="5710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5312"/>
        <c:crosses val="autoZero"/>
        <c:crossBetween val="midCat"/>
      </c:valAx>
      <c:valAx>
        <c:axId val="571015312"/>
        <c:scaling>
          <c:orientation val="minMax"/>
          <c:max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1012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Chi-squared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SD!$R$2:$R$17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SD!$S$2:$S$17</c:f>
              <c:numCache>
                <c:formatCode>General</c:formatCode>
                <c:ptCount val="16"/>
                <c:pt idx="0">
                  <c:v>0</c:v>
                </c:pt>
                <c:pt idx="1">
                  <c:v>1.5328310048810093E-3</c:v>
                </c:pt>
                <c:pt idx="2">
                  <c:v>1.8044704431548358E-2</c:v>
                </c:pt>
                <c:pt idx="3">
                  <c:v>5.0409406722462261E-2</c:v>
                </c:pt>
                <c:pt idx="4">
                  <c:v>7.8146725925265864E-2</c:v>
                </c:pt>
                <c:pt idx="5">
                  <c:v>8.7733684883925356E-2</c:v>
                </c:pt>
                <c:pt idx="6">
                  <c:v>8.0311570523990017E-2</c:v>
                </c:pt>
                <c:pt idx="7">
                  <c:v>6.3858334146144807E-2</c:v>
                </c:pt>
                <c:pt idx="8">
                  <c:v>4.5801830796289619E-2</c:v>
                </c:pt>
                <c:pt idx="9">
                  <c:v>3.036343967297641E-2</c:v>
                </c:pt>
                <c:pt idx="10">
                  <c:v>1.8916637401035358E-2</c:v>
                </c:pt>
                <c:pt idx="11">
                  <c:v>1.1207606724874392E-2</c:v>
                </c:pt>
                <c:pt idx="12">
                  <c:v>6.3703193679306861E-3</c:v>
                </c:pt>
                <c:pt idx="13">
                  <c:v>3.4968520271092345E-3</c:v>
                </c:pt>
                <c:pt idx="14">
                  <c:v>1.8634004242631572E-3</c:v>
                </c:pt>
                <c:pt idx="15">
                  <c:v>9.6789406096280768E-4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E5-430E-A212-70CD45CDEE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E5-430E-A212-70CD45CDEE0A}"/>
              </c:ext>
            </c:extLst>
          </c:dPt>
          <c:xVal>
            <c:numRef>
              <c:f>SD!$J$3:$J$4</c:f>
              <c:numCache>
                <c:formatCode>0.000</c:formatCode>
                <c:ptCount val="2"/>
                <c:pt idx="0">
                  <c:v>5.2260294883926397</c:v>
                </c:pt>
                <c:pt idx="1">
                  <c:v>5.2260294883926397</c:v>
                </c:pt>
              </c:numCache>
            </c:numRef>
          </c:xVal>
          <c:yVal>
            <c:numRef>
              <c:f>SD!$K$3:$K$4</c:f>
              <c:numCache>
                <c:formatCode>General</c:formatCode>
                <c:ptCount val="2"/>
                <c:pt idx="0">
                  <c:v>0</c:v>
                </c:pt>
                <c:pt idx="1">
                  <c:v>3.7211756906266602E-2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E5-430E-A212-70CD45CDEE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CE5-430E-A212-70CD45CDEE0A}"/>
              </c:ext>
            </c:extLst>
          </c:dPt>
          <c:xVal>
            <c:numRef>
              <c:f>SD!$L$3:$L$4</c:f>
              <c:numCache>
                <c:formatCode>0.000</c:formatCode>
                <c:ptCount val="2"/>
                <c:pt idx="0">
                  <c:v>21.026069817483062</c:v>
                </c:pt>
                <c:pt idx="1">
                  <c:v>21.026069817483062</c:v>
                </c:pt>
              </c:numCache>
            </c:numRef>
          </c:xVal>
          <c:yVal>
            <c:numRef>
              <c:f>SD!$M$3:$M$4</c:f>
              <c:numCache>
                <c:formatCode>General</c:formatCode>
                <c:ptCount val="2"/>
                <c:pt idx="0">
                  <c:v>0</c:v>
                </c:pt>
                <c:pt idx="1">
                  <c:v>1.4543744683178872E-2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E5-430E-A212-70CD45CD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74296"/>
        <c:axId val="700712328"/>
      </c:scatterChart>
      <c:valAx>
        <c:axId val="7307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2328"/>
        <c:crosses val="autoZero"/>
        <c:crossBetween val="midCat"/>
      </c:valAx>
      <c:valAx>
        <c:axId val="700712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07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8.png"/><Relationship Id="rId7" Type="http://schemas.openxmlformats.org/officeDocument/2006/relationships/chart" Target="../charts/chart3.xml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7.png"/><Relationship Id="rId2" Type="http://schemas.openxmlformats.org/officeDocument/2006/relationships/chart" Target="../charts/chart7.xml"/><Relationship Id="rId1" Type="http://schemas.openxmlformats.org/officeDocument/2006/relationships/image" Target="../media/image7.png"/><Relationship Id="rId6" Type="http://schemas.openxmlformats.org/officeDocument/2006/relationships/image" Target="../media/image16.png"/><Relationship Id="rId5" Type="http://schemas.openxmlformats.org/officeDocument/2006/relationships/chart" Target="../charts/chart8.xml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chart" Target="../charts/chart9.xml"/><Relationship Id="rId1" Type="http://schemas.openxmlformats.org/officeDocument/2006/relationships/image" Target="../media/image18.png"/><Relationship Id="rId5" Type="http://schemas.openxmlformats.org/officeDocument/2006/relationships/chart" Target="../charts/chart10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28575</xdr:rowOff>
    </xdr:from>
    <xdr:to>
      <xdr:col>2</xdr:col>
      <xdr:colOff>647700</xdr:colOff>
      <xdr:row>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26BD3B-7EF9-4DB0-869B-A26A483BD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495300"/>
          <a:ext cx="1333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514350</xdr:colOff>
      <xdr:row>3</xdr:row>
      <xdr:rowOff>0</xdr:rowOff>
    </xdr:from>
    <xdr:to>
      <xdr:col>2</xdr:col>
      <xdr:colOff>657225</xdr:colOff>
      <xdr:row>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43A1A-3DA9-4969-A270-C02A80218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742950"/>
          <a:ext cx="142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4657725</xdr:colOff>
      <xdr:row>27</xdr:row>
      <xdr:rowOff>57150</xdr:rowOff>
    </xdr:from>
    <xdr:to>
      <xdr:col>13</xdr:col>
      <xdr:colOff>3942821</xdr:colOff>
      <xdr:row>40</xdr:row>
      <xdr:rowOff>190174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1B4856-D5FB-4EF0-A5D7-BC39677B3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54200" y="7229475"/>
          <a:ext cx="4228571" cy="26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257175</xdr:rowOff>
    </xdr:from>
    <xdr:to>
      <xdr:col>13</xdr:col>
      <xdr:colOff>4229100</xdr:colOff>
      <xdr:row>22</xdr:row>
      <xdr:rowOff>104494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8F959C-FBFA-4F7F-B785-9B910254B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92300" y="3848100"/>
          <a:ext cx="4229100" cy="22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1</xdr:row>
      <xdr:rowOff>95250</xdr:rowOff>
    </xdr:from>
    <xdr:to>
      <xdr:col>14</xdr:col>
      <xdr:colOff>447675</xdr:colOff>
      <xdr:row>8</xdr:row>
      <xdr:rowOff>228325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B55640-C67F-4421-9A00-82B9C9FE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25750" y="285750"/>
          <a:ext cx="4533900" cy="2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7</xdr:row>
      <xdr:rowOff>0</xdr:rowOff>
    </xdr:from>
    <xdr:to>
      <xdr:col>12</xdr:col>
      <xdr:colOff>4838701</xdr:colOff>
      <xdr:row>16</xdr:row>
      <xdr:rowOff>28575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4AC394-C9C2-4395-BBF5-B4C2100E6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20376" y="1990725"/>
          <a:ext cx="4838700" cy="242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0</xdr:rowOff>
    </xdr:from>
    <xdr:to>
      <xdr:col>16</xdr:col>
      <xdr:colOff>600075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F152A-A5F2-497C-BA1F-16265B288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238125</xdr:colOff>
      <xdr:row>0</xdr:row>
      <xdr:rowOff>28576</xdr:rowOff>
    </xdr:from>
    <xdr:to>
      <xdr:col>1</xdr:col>
      <xdr:colOff>3190874</xdr:colOff>
      <xdr:row>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27902C-DEFC-4F85-9D9B-B332ED43A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28576"/>
          <a:ext cx="2952749" cy="12668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</xdr:row>
      <xdr:rowOff>0</xdr:rowOff>
    </xdr:from>
    <xdr:to>
      <xdr:col>1</xdr:col>
      <xdr:colOff>2247624</xdr:colOff>
      <xdr:row>14</xdr:row>
      <xdr:rowOff>152281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EB94BA-EAB7-4127-9CD7-B1AECB48E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2324100"/>
          <a:ext cx="2209524" cy="952381"/>
        </a:xfrm>
        <a:prstGeom prst="rect">
          <a:avLst/>
        </a:prstGeom>
      </xdr:spPr>
    </xdr:pic>
    <xdr:clientData/>
  </xdr:twoCellAnchor>
  <xdr:twoCellAnchor>
    <xdr:from>
      <xdr:col>10</xdr:col>
      <xdr:colOff>161925</xdr:colOff>
      <xdr:row>16</xdr:row>
      <xdr:rowOff>9525</xdr:rowOff>
    </xdr:from>
    <xdr:to>
      <xdr:col>16</xdr:col>
      <xdr:colOff>542925</xdr:colOff>
      <xdr:row>36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4241F5-43E7-4A07-B167-88CBBE0F3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104775</xdr:colOff>
      <xdr:row>16</xdr:row>
      <xdr:rowOff>85725</xdr:rowOff>
    </xdr:from>
    <xdr:to>
      <xdr:col>1</xdr:col>
      <xdr:colOff>3733346</xdr:colOff>
      <xdr:row>20</xdr:row>
      <xdr:rowOff>104677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476DC3-83BE-48FE-8526-BBD6B7598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3590925"/>
          <a:ext cx="3628571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2266950</xdr:colOff>
      <xdr:row>11</xdr:row>
      <xdr:rowOff>238125</xdr:rowOff>
    </xdr:from>
    <xdr:to>
      <xdr:col>1</xdr:col>
      <xdr:colOff>3685998</xdr:colOff>
      <xdr:row>14</xdr:row>
      <xdr:rowOff>171358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3F34CC-DBEF-49B3-A74E-F33469C72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76550" y="2562225"/>
          <a:ext cx="1419048" cy="733333"/>
        </a:xfrm>
        <a:prstGeom prst="rect">
          <a:avLst/>
        </a:prstGeom>
      </xdr:spPr>
    </xdr:pic>
    <xdr:clientData/>
  </xdr:twoCellAnchor>
  <xdr:twoCellAnchor>
    <xdr:from>
      <xdr:col>20</xdr:col>
      <xdr:colOff>28575</xdr:colOff>
      <xdr:row>0</xdr:row>
      <xdr:rowOff>76200</xdr:rowOff>
    </xdr:from>
    <xdr:to>
      <xdr:col>29</xdr:col>
      <xdr:colOff>190499</xdr:colOff>
      <xdr:row>22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38E16B-C806-42A2-A6F2-C4BEF6CE6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323850</xdr:colOff>
      <xdr:row>0</xdr:row>
      <xdr:rowOff>66675</xdr:rowOff>
    </xdr:from>
    <xdr:to>
      <xdr:col>41</xdr:col>
      <xdr:colOff>438150</xdr:colOff>
      <xdr:row>20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FE98E-34E0-4E25-9C9E-74C26B94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19050</xdr:rowOff>
    </xdr:from>
    <xdr:to>
      <xdr:col>0</xdr:col>
      <xdr:colOff>3181350</xdr:colOff>
      <xdr:row>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61069F-0816-4339-85F4-94B788B66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9050"/>
          <a:ext cx="3086100" cy="176212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14</xdr:row>
      <xdr:rowOff>95250</xdr:rowOff>
    </xdr:from>
    <xdr:to>
      <xdr:col>0</xdr:col>
      <xdr:colOff>2609559</xdr:colOff>
      <xdr:row>20</xdr:row>
      <xdr:rowOff>190345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8089A4-6C37-47A9-822B-08BF7BE80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3009900"/>
          <a:ext cx="2323809" cy="1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22</xdr:row>
      <xdr:rowOff>76200</xdr:rowOff>
    </xdr:from>
    <xdr:to>
      <xdr:col>1</xdr:col>
      <xdr:colOff>19050</xdr:colOff>
      <xdr:row>26</xdr:row>
      <xdr:rowOff>76105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8CFFE0-3D50-4EE7-A89F-7F94CCF10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4514850"/>
          <a:ext cx="3324225" cy="761905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0</xdr:row>
      <xdr:rowOff>0</xdr:rowOff>
    </xdr:from>
    <xdr:to>
      <xdr:col>17</xdr:col>
      <xdr:colOff>9525</xdr:colOff>
      <xdr:row>16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5D4FCB-FF5F-41BE-818F-4F9B8CC4F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16</xdr:row>
      <xdr:rowOff>85725</xdr:rowOff>
    </xdr:from>
    <xdr:to>
      <xdr:col>17</xdr:col>
      <xdr:colOff>38100</xdr:colOff>
      <xdr:row>32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4CE87-5EFC-47C4-A417-7D0B39D76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114300</xdr:rowOff>
    </xdr:from>
    <xdr:to>
      <xdr:col>0</xdr:col>
      <xdr:colOff>2857500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20FF8E-CC52-4E8C-A66A-4A3E1FBC6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14300"/>
          <a:ext cx="2428875" cy="1266824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</xdr:row>
      <xdr:rowOff>9526</xdr:rowOff>
    </xdr:from>
    <xdr:to>
      <xdr:col>15</xdr:col>
      <xdr:colOff>314325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AD932-D3EB-4E88-A22A-29BCF3D2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22</xdr:row>
      <xdr:rowOff>57150</xdr:rowOff>
    </xdr:from>
    <xdr:to>
      <xdr:col>0</xdr:col>
      <xdr:colOff>3590484</xdr:colOff>
      <xdr:row>28</xdr:row>
      <xdr:rowOff>114150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4AB7AB-637D-46A4-840A-D1245D282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4267200"/>
          <a:ext cx="3523809" cy="1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5047619</xdr:colOff>
      <xdr:row>19</xdr:row>
      <xdr:rowOff>18786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976362-0818-4711-81E1-271FF211C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43050"/>
          <a:ext cx="5047619" cy="2114286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21</xdr:row>
      <xdr:rowOff>152400</xdr:rowOff>
    </xdr:from>
    <xdr:to>
      <xdr:col>16</xdr:col>
      <xdr:colOff>28575</xdr:colOff>
      <xdr:row>35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CCF964-D857-4B24-926F-927C6E75C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0</xdr:colOff>
      <xdr:row>41</xdr:row>
      <xdr:rowOff>85724</xdr:rowOff>
    </xdr:from>
    <xdr:to>
      <xdr:col>10</xdr:col>
      <xdr:colOff>304800</xdr:colOff>
      <xdr:row>70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0208C7-5354-422C-A04F-921113C9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7915274"/>
          <a:ext cx="5648325" cy="5562601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49</xdr:row>
      <xdr:rowOff>38100</xdr:rowOff>
    </xdr:from>
    <xdr:to>
      <xdr:col>19</xdr:col>
      <xdr:colOff>589789</xdr:colOff>
      <xdr:row>70</xdr:row>
      <xdr:rowOff>95249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06E896-2E45-4414-909F-3903C86C1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0" y="9391650"/>
          <a:ext cx="6085714" cy="4057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85726</xdr:rowOff>
    </xdr:from>
    <xdr:to>
      <xdr:col>0</xdr:col>
      <xdr:colOff>3695701</xdr:colOff>
      <xdr:row>8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3AEE70-3B64-47EB-9E5B-41990E478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85726"/>
          <a:ext cx="3600450" cy="1600200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1</xdr:row>
      <xdr:rowOff>19050</xdr:rowOff>
    </xdr:from>
    <xdr:to>
      <xdr:col>17</xdr:col>
      <xdr:colOff>147637</xdr:colOff>
      <xdr:row>13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BE4B8-C844-42D3-9FF2-9EED4D5FD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4180952</xdr:colOff>
      <xdr:row>22</xdr:row>
      <xdr:rowOff>47449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FF0CC4-957B-4AB7-845B-8B259F8C0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67075"/>
          <a:ext cx="4180952" cy="1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161925</xdr:rowOff>
    </xdr:from>
    <xdr:to>
      <xdr:col>0</xdr:col>
      <xdr:colOff>3523809</xdr:colOff>
      <xdr:row>27</xdr:row>
      <xdr:rowOff>180874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C62D5-0356-4F40-A495-0239C5364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53000"/>
          <a:ext cx="3523809" cy="80952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</xdr:row>
      <xdr:rowOff>38100</xdr:rowOff>
    </xdr:from>
    <xdr:to>
      <xdr:col>17</xdr:col>
      <xdr:colOff>185737</xdr:colOff>
      <xdr:row>28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CD1CC3-3A51-4F06-9001-AC753A625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3"/>
  <sheetViews>
    <sheetView tabSelected="1" workbookViewId="0">
      <selection activeCell="S12" sqref="S12"/>
    </sheetView>
  </sheetViews>
  <sheetFormatPr defaultRowHeight="15" x14ac:dyDescent="0.25"/>
  <cols>
    <col min="1" max="1" width="33.85546875" customWidth="1"/>
    <col min="2" max="2" width="14.28515625" style="6" customWidth="1"/>
    <col min="3" max="3" width="18" style="6" customWidth="1"/>
    <col min="12" max="12" width="82" customWidth="1"/>
    <col min="13" max="13" width="74.140625" customWidth="1"/>
    <col min="14" max="15" width="64.42578125" customWidth="1"/>
    <col min="17" max="17" width="11.42578125" customWidth="1"/>
    <col min="18" max="18" width="18.28515625" customWidth="1"/>
    <col min="19" max="21" width="35.7109375" style="6" customWidth="1"/>
  </cols>
  <sheetData>
    <row r="2" spans="1:21" ht="24" thickBot="1" x14ac:dyDescent="0.4">
      <c r="B2" s="26" t="s">
        <v>93</v>
      </c>
      <c r="C2" s="26" t="s">
        <v>94</v>
      </c>
      <c r="M2" s="26" t="s">
        <v>127</v>
      </c>
      <c r="S2" s="35" t="s">
        <v>108</v>
      </c>
      <c r="T2" s="35" t="s">
        <v>110</v>
      </c>
      <c r="U2" s="35" t="s">
        <v>109</v>
      </c>
    </row>
    <row r="3" spans="1:21" ht="24" thickTop="1" x14ac:dyDescent="0.35">
      <c r="A3" s="28" t="s">
        <v>95</v>
      </c>
      <c r="B3" s="29" t="s">
        <v>92</v>
      </c>
      <c r="C3" s="30" t="s">
        <v>102</v>
      </c>
      <c r="D3" t="s">
        <v>105</v>
      </c>
      <c r="M3" t="s">
        <v>128</v>
      </c>
      <c r="Q3" t="s">
        <v>117</v>
      </c>
      <c r="R3" s="33" t="s">
        <v>119</v>
      </c>
      <c r="S3" s="34" t="s">
        <v>111</v>
      </c>
      <c r="T3" s="34" t="s">
        <v>112</v>
      </c>
      <c r="U3" s="34" t="s">
        <v>113</v>
      </c>
    </row>
    <row r="4" spans="1:21" ht="23.25" x14ac:dyDescent="0.35">
      <c r="A4" s="28" t="s">
        <v>96</v>
      </c>
      <c r="B4" s="29" t="s">
        <v>97</v>
      </c>
      <c r="C4" s="31" t="s">
        <v>2</v>
      </c>
      <c r="D4" t="s">
        <v>106</v>
      </c>
      <c r="M4" t="s">
        <v>129</v>
      </c>
      <c r="Q4" t="s">
        <v>118</v>
      </c>
      <c r="R4" s="33" t="s">
        <v>120</v>
      </c>
      <c r="S4" s="34" t="s">
        <v>114</v>
      </c>
      <c r="T4" s="34" t="s">
        <v>115</v>
      </c>
      <c r="U4" s="34" t="s">
        <v>116</v>
      </c>
    </row>
    <row r="5" spans="1:21" ht="23.25" x14ac:dyDescent="0.35">
      <c r="A5" s="28" t="s">
        <v>98</v>
      </c>
      <c r="B5" s="29" t="s">
        <v>99</v>
      </c>
      <c r="C5" s="32" t="s">
        <v>100</v>
      </c>
      <c r="M5" s="34" t="s">
        <v>130</v>
      </c>
    </row>
    <row r="6" spans="1:21" ht="26.25" x14ac:dyDescent="0.35">
      <c r="A6" s="28" t="s">
        <v>101</v>
      </c>
      <c r="B6" s="29" t="s">
        <v>103</v>
      </c>
      <c r="C6" s="29" t="s">
        <v>104</v>
      </c>
      <c r="D6" t="s">
        <v>107</v>
      </c>
      <c r="M6" s="34" t="s">
        <v>131</v>
      </c>
    </row>
    <row r="7" spans="1:21" ht="21" x14ac:dyDescent="0.35">
      <c r="B7" s="27"/>
      <c r="C7" s="27"/>
    </row>
    <row r="8" spans="1:21" ht="21" x14ac:dyDescent="0.35">
      <c r="B8" s="27"/>
      <c r="C8" s="27"/>
    </row>
    <row r="9" spans="1:21" ht="21" x14ac:dyDescent="0.35">
      <c r="B9" s="27"/>
      <c r="C9" s="27"/>
    </row>
    <row r="10" spans="1:21" ht="21" x14ac:dyDescent="0.35">
      <c r="B10" s="27"/>
      <c r="C10" s="27"/>
    </row>
    <row r="11" spans="1:21" ht="21" x14ac:dyDescent="0.35">
      <c r="B11" s="27"/>
      <c r="C11" s="27"/>
      <c r="N11" s="36" t="s">
        <v>121</v>
      </c>
      <c r="O11" s="36"/>
    </row>
    <row r="12" spans="1:21" ht="21" x14ac:dyDescent="0.35">
      <c r="B12" s="27"/>
      <c r="C12" s="27"/>
      <c r="N12" s="36" t="s">
        <v>122</v>
      </c>
      <c r="O12" s="36"/>
    </row>
    <row r="13" spans="1:21" ht="21" x14ac:dyDescent="0.35">
      <c r="B13" s="27"/>
      <c r="C13" s="27"/>
    </row>
    <row r="14" spans="1:21" ht="21" x14ac:dyDescent="0.35">
      <c r="B14" s="27"/>
      <c r="C14" s="27"/>
    </row>
    <row r="15" spans="1:21" ht="21" x14ac:dyDescent="0.35">
      <c r="B15" s="27"/>
      <c r="C15" s="27"/>
    </row>
    <row r="16" spans="1:21" ht="21" x14ac:dyDescent="0.35">
      <c r="B16" s="27"/>
      <c r="C16" s="27"/>
    </row>
    <row r="17" spans="2:15" ht="21" x14ac:dyDescent="0.35">
      <c r="B17" s="27"/>
      <c r="C17" s="27"/>
    </row>
    <row r="18" spans="2:15" ht="21" x14ac:dyDescent="0.35">
      <c r="B18" s="27"/>
      <c r="C18" s="27"/>
    </row>
    <row r="19" spans="2:15" ht="21" x14ac:dyDescent="0.35">
      <c r="B19" s="27"/>
      <c r="C19" s="27"/>
    </row>
    <row r="20" spans="2:15" ht="21" x14ac:dyDescent="0.35">
      <c r="B20" s="27"/>
      <c r="C20" s="27"/>
    </row>
    <row r="21" spans="2:15" ht="21" x14ac:dyDescent="0.35">
      <c r="B21" s="27"/>
      <c r="C21" s="27"/>
    </row>
    <row r="22" spans="2:15" ht="21" x14ac:dyDescent="0.35">
      <c r="B22" s="27"/>
      <c r="C22" s="27"/>
    </row>
    <row r="23" spans="2:15" ht="21" x14ac:dyDescent="0.35">
      <c r="B23" s="27" t="s">
        <v>2</v>
      </c>
      <c r="C23" s="27"/>
    </row>
    <row r="24" spans="2:15" ht="21" x14ac:dyDescent="0.35">
      <c r="B24" s="27"/>
      <c r="C24" s="27"/>
      <c r="N24" s="36" t="s">
        <v>125</v>
      </c>
      <c r="O24" s="36"/>
    </row>
    <row r="25" spans="2:15" ht="21" x14ac:dyDescent="0.35">
      <c r="B25" s="27"/>
      <c r="C25" s="27"/>
      <c r="N25" s="36" t="s">
        <v>126</v>
      </c>
      <c r="O25" s="36"/>
    </row>
    <row r="42" spans="14:15" ht="21" x14ac:dyDescent="0.35">
      <c r="N42" s="36" t="s">
        <v>123</v>
      </c>
      <c r="O42" s="36"/>
    </row>
    <row r="43" spans="14:15" ht="21" x14ac:dyDescent="0.35">
      <c r="N43" s="36" t="s">
        <v>124</v>
      </c>
      <c r="O43" s="3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43"/>
  <sheetViews>
    <sheetView workbookViewId="0">
      <selection activeCell="H6" sqref="H6"/>
    </sheetView>
  </sheetViews>
  <sheetFormatPr defaultRowHeight="15" x14ac:dyDescent="0.25"/>
  <cols>
    <col min="2" max="2" width="58.85546875" customWidth="1"/>
    <col min="3" max="3" width="11.5703125" style="1" bestFit="1" customWidth="1"/>
    <col min="6" max="6" width="17.7109375" customWidth="1"/>
    <col min="7" max="7" width="16.140625" customWidth="1"/>
    <col min="9" max="9" width="10.140625" customWidth="1"/>
    <col min="12" max="16" width="9.140625" style="1"/>
    <col min="18" max="18" width="9.140625" style="1"/>
    <col min="19" max="19" width="17.140625" style="1" customWidth="1"/>
    <col min="21" max="21" width="24.7109375" bestFit="1" customWidth="1"/>
  </cols>
  <sheetData>
    <row r="1" spans="2:21" x14ac:dyDescent="0.25">
      <c r="C1" s="1" t="s">
        <v>0</v>
      </c>
      <c r="E1" s="5" t="s">
        <v>9</v>
      </c>
      <c r="F1" s="5"/>
      <c r="G1" s="5"/>
      <c r="H1" s="5"/>
      <c r="R1" s="1" t="s">
        <v>1</v>
      </c>
      <c r="S1" s="1" t="s">
        <v>3</v>
      </c>
    </row>
    <row r="2" spans="2:21" x14ac:dyDescent="0.25">
      <c r="C2" s="1">
        <v>96</v>
      </c>
      <c r="D2" s="1"/>
      <c r="R2" s="1">
        <v>-4</v>
      </c>
      <c r="S2" s="1">
        <f>_xlfn.NORM.S.DIST(R2,0)</f>
        <v>1.3383022576488537E-4</v>
      </c>
    </row>
    <row r="3" spans="2:21" x14ac:dyDescent="0.25">
      <c r="C3" s="1">
        <v>73</v>
      </c>
      <c r="D3" s="1"/>
      <c r="E3" t="s">
        <v>4</v>
      </c>
      <c r="G3" s="6">
        <v>0.9</v>
      </c>
      <c r="L3" s="1">
        <f>G6</f>
        <v>-1.6448536269514715</v>
      </c>
      <c r="M3" s="1">
        <v>0</v>
      </c>
      <c r="N3" s="1">
        <f>G5</f>
        <v>1.6448536269514715</v>
      </c>
      <c r="O3" s="1">
        <v>0</v>
      </c>
      <c r="R3" s="1">
        <f>R2+0.5</f>
        <v>-3.5</v>
      </c>
      <c r="S3" s="1">
        <f t="shared" ref="S3:S18" si="0">_xlfn.NORM.S.DIST(R3,0)</f>
        <v>8.7268269504576015E-4</v>
      </c>
    </row>
    <row r="4" spans="2:21" x14ac:dyDescent="0.25">
      <c r="C4" s="1">
        <v>76</v>
      </c>
      <c r="D4" s="1"/>
      <c r="E4" t="s">
        <v>5</v>
      </c>
      <c r="G4" s="6">
        <f>(1-G3)/2</f>
        <v>4.9999999999999989E-2</v>
      </c>
      <c r="L4" s="1">
        <f>G6</f>
        <v>-1.6448536269514715</v>
      </c>
      <c r="M4" s="1">
        <f>_xlfn.NORM.S.DIST(L4,0)</f>
        <v>0.10313564037537151</v>
      </c>
      <c r="N4" s="1">
        <f>G5</f>
        <v>1.6448536269514715</v>
      </c>
      <c r="O4" s="1">
        <f>_xlfn.NORM.S.DIST(N4,0)</f>
        <v>0.10313564037537151</v>
      </c>
      <c r="R4" s="1">
        <f t="shared" ref="R4:R18" si="1">R3+0.5</f>
        <v>-3</v>
      </c>
      <c r="S4" s="1">
        <f t="shared" si="0"/>
        <v>4.4318484119380075E-3</v>
      </c>
    </row>
    <row r="5" spans="2:21" x14ac:dyDescent="0.25">
      <c r="B5" t="s">
        <v>10</v>
      </c>
      <c r="C5" s="1">
        <v>100</v>
      </c>
      <c r="D5" s="1"/>
      <c r="E5" t="s">
        <v>7</v>
      </c>
      <c r="G5" s="9">
        <f>_xlfn.NORM.S.INV((1+G3)/2)</f>
        <v>1.6448536269514715</v>
      </c>
      <c r="R5" s="1">
        <f t="shared" si="1"/>
        <v>-2.5</v>
      </c>
      <c r="S5" s="1">
        <f t="shared" si="0"/>
        <v>1.752830049356854E-2</v>
      </c>
    </row>
    <row r="6" spans="2:21" x14ac:dyDescent="0.25">
      <c r="C6" s="1">
        <v>109</v>
      </c>
      <c r="D6" s="1"/>
      <c r="E6" t="s">
        <v>8</v>
      </c>
      <c r="G6" s="9">
        <f>-G5</f>
        <v>-1.6448536269514715</v>
      </c>
      <c r="R6" s="1">
        <f t="shared" si="1"/>
        <v>-2</v>
      </c>
      <c r="S6" s="1">
        <f t="shared" si="0"/>
        <v>5.3990966513188063E-2</v>
      </c>
    </row>
    <row r="7" spans="2:21" x14ac:dyDescent="0.25">
      <c r="C7" s="1">
        <v>100</v>
      </c>
      <c r="D7" s="1"/>
      <c r="F7" t="s">
        <v>17</v>
      </c>
      <c r="G7" s="6">
        <f>AVERAGE(C2:C43)</f>
        <v>98.5</v>
      </c>
      <c r="R7" s="1">
        <f t="shared" si="1"/>
        <v>-1.5</v>
      </c>
      <c r="S7" s="1">
        <f t="shared" si="0"/>
        <v>0.12951759566589174</v>
      </c>
    </row>
    <row r="8" spans="2:21" ht="23.25" x14ac:dyDescent="0.35">
      <c r="B8" s="3" t="s">
        <v>11</v>
      </c>
      <c r="C8" s="1">
        <v>95</v>
      </c>
      <c r="D8" s="1"/>
      <c r="F8" t="s">
        <v>18</v>
      </c>
      <c r="G8" s="6">
        <f>COUNT(C2:C43)</f>
        <v>42</v>
      </c>
      <c r="I8" s="41"/>
      <c r="R8" s="1">
        <f t="shared" si="1"/>
        <v>-1</v>
      </c>
      <c r="S8" s="1">
        <f t="shared" si="0"/>
        <v>0.24197072451914337</v>
      </c>
      <c r="U8" s="23"/>
    </row>
    <row r="9" spans="2:21" ht="23.25" x14ac:dyDescent="0.35">
      <c r="B9" s="4" t="s">
        <v>15</v>
      </c>
      <c r="C9" s="1">
        <v>107</v>
      </c>
      <c r="D9" s="1"/>
      <c r="F9" t="s">
        <v>19</v>
      </c>
      <c r="G9" s="37">
        <f>_xlfn.STDEV.S(C2:C43)</f>
        <v>12.153991615725344</v>
      </c>
      <c r="I9" s="42"/>
      <c r="R9" s="1">
        <f t="shared" si="1"/>
        <v>-0.5</v>
      </c>
      <c r="S9" s="1">
        <f t="shared" si="0"/>
        <v>0.35206532676429952</v>
      </c>
      <c r="U9" s="25"/>
    </row>
    <row r="10" spans="2:21" ht="23.25" x14ac:dyDescent="0.35">
      <c r="B10" s="4" t="s">
        <v>16</v>
      </c>
      <c r="C10" s="1">
        <v>118</v>
      </c>
      <c r="D10" s="1"/>
      <c r="F10" t="s">
        <v>20</v>
      </c>
      <c r="G10" s="9">
        <f>G5*G9/SQRT(G8)</f>
        <v>3.0847611594728637</v>
      </c>
      <c r="I10" s="31"/>
      <c r="R10" s="1">
        <f t="shared" si="1"/>
        <v>0</v>
      </c>
      <c r="S10" s="1">
        <f t="shared" si="0"/>
        <v>0.3989422804014327</v>
      </c>
      <c r="U10" s="24"/>
    </row>
    <row r="11" spans="2:21" x14ac:dyDescent="0.25">
      <c r="C11" s="1">
        <v>100</v>
      </c>
      <c r="D11" s="1"/>
      <c r="F11" t="s">
        <v>21</v>
      </c>
      <c r="G11" s="9">
        <f>G7-G10</f>
        <v>95.415238840527138</v>
      </c>
      <c r="R11" s="1">
        <f t="shared" si="1"/>
        <v>0.5</v>
      </c>
      <c r="S11" s="1">
        <f t="shared" si="0"/>
        <v>0.35206532676429952</v>
      </c>
    </row>
    <row r="12" spans="2:21" ht="21" x14ac:dyDescent="0.35">
      <c r="B12" s="3" t="s">
        <v>12</v>
      </c>
      <c r="C12" s="1">
        <v>104</v>
      </c>
      <c r="D12" s="1"/>
      <c r="F12" t="s">
        <v>22</v>
      </c>
      <c r="G12" s="9">
        <f>G7+G10</f>
        <v>101.58476115947286</v>
      </c>
      <c r="R12" s="1">
        <f t="shared" si="1"/>
        <v>1</v>
      </c>
      <c r="S12" s="1">
        <f t="shared" si="0"/>
        <v>0.24197072451914337</v>
      </c>
      <c r="U12" s="25"/>
    </row>
    <row r="13" spans="2:21" ht="21" x14ac:dyDescent="0.35">
      <c r="B13" s="4" t="s">
        <v>13</v>
      </c>
      <c r="C13" s="1">
        <v>95</v>
      </c>
      <c r="D13" s="1"/>
      <c r="R13" s="1">
        <f t="shared" si="1"/>
        <v>1.5</v>
      </c>
      <c r="S13" s="1">
        <f t="shared" si="0"/>
        <v>0.12951759566589174</v>
      </c>
    </row>
    <row r="14" spans="2:21" ht="21" x14ac:dyDescent="0.35">
      <c r="B14" s="4" t="s">
        <v>14</v>
      </c>
      <c r="C14" s="1">
        <v>95</v>
      </c>
      <c r="D14" s="1"/>
      <c r="E14" s="5" t="s">
        <v>132</v>
      </c>
      <c r="F14" s="5"/>
      <c r="G14" s="5"/>
      <c r="H14" s="5"/>
      <c r="I14" s="13"/>
      <c r="J14" s="13"/>
      <c r="R14" s="1">
        <f t="shared" si="1"/>
        <v>2</v>
      </c>
      <c r="S14" s="1">
        <f t="shared" si="0"/>
        <v>5.3990966513188063E-2</v>
      </c>
    </row>
    <row r="15" spans="2:21" x14ac:dyDescent="0.25">
      <c r="C15" s="1">
        <v>105</v>
      </c>
      <c r="D15" s="1"/>
      <c r="F15" t="s">
        <v>29</v>
      </c>
      <c r="G15" s="6">
        <v>2</v>
      </c>
      <c r="R15" s="1">
        <f t="shared" si="1"/>
        <v>2.5</v>
      </c>
      <c r="S15" s="1">
        <f t="shared" si="0"/>
        <v>1.752830049356854E-2</v>
      </c>
    </row>
    <row r="16" spans="2:21" x14ac:dyDescent="0.25">
      <c r="C16" s="1">
        <v>97</v>
      </c>
      <c r="D16" s="1"/>
      <c r="F16" t="s">
        <v>30</v>
      </c>
      <c r="G16" s="6">
        <f>CEILING((G5*G9/G15)^2, 1)</f>
        <v>100</v>
      </c>
      <c r="R16" s="1">
        <f t="shared" si="1"/>
        <v>3</v>
      </c>
      <c r="S16" s="1">
        <f t="shared" si="0"/>
        <v>4.4318484119380075E-3</v>
      </c>
    </row>
    <row r="17" spans="3:19" x14ac:dyDescent="0.25">
      <c r="C17" s="1">
        <v>96</v>
      </c>
      <c r="D17" s="1"/>
      <c r="E17" s="5" t="s">
        <v>28</v>
      </c>
      <c r="F17" s="5"/>
      <c r="G17" s="5"/>
      <c r="H17" s="5"/>
      <c r="R17" s="1">
        <f t="shared" si="1"/>
        <v>3.5</v>
      </c>
      <c r="S17" s="1">
        <f t="shared" si="0"/>
        <v>8.7268269504576015E-4</v>
      </c>
    </row>
    <row r="18" spans="3:19" x14ac:dyDescent="0.25">
      <c r="C18" s="1">
        <v>77</v>
      </c>
      <c r="D18" s="1"/>
      <c r="F18" s="6" t="s">
        <v>23</v>
      </c>
      <c r="G18" s="40">
        <v>0.1</v>
      </c>
      <c r="R18" s="1">
        <f t="shared" si="1"/>
        <v>4</v>
      </c>
      <c r="S18" s="1">
        <f t="shared" si="0"/>
        <v>1.3383022576488537E-4</v>
      </c>
    </row>
    <row r="19" spans="3:19" x14ac:dyDescent="0.25">
      <c r="C19" s="1">
        <v>103</v>
      </c>
      <c r="D19" s="1"/>
      <c r="F19" s="6" t="s">
        <v>6</v>
      </c>
      <c r="G19" s="38">
        <f>_xlfn.NORM.S.INV(1-G18)</f>
        <v>1.2815515655446006</v>
      </c>
      <c r="R19" s="1" t="s">
        <v>2</v>
      </c>
      <c r="S19" s="1" t="s">
        <v>2</v>
      </c>
    </row>
    <row r="20" spans="3:19" x14ac:dyDescent="0.25">
      <c r="C20" s="11">
        <v>111</v>
      </c>
      <c r="D20" s="1"/>
      <c r="F20" s="6" t="s">
        <v>24</v>
      </c>
      <c r="R20" s="1" t="s">
        <v>2</v>
      </c>
      <c r="S20" s="1" t="s">
        <v>2</v>
      </c>
    </row>
    <row r="21" spans="3:19" x14ac:dyDescent="0.25">
      <c r="C21" s="1">
        <v>111</v>
      </c>
      <c r="D21" s="1"/>
      <c r="F21" s="6" t="s">
        <v>25</v>
      </c>
      <c r="L21" s="8">
        <f>G19</f>
        <v>1.2815515655446006</v>
      </c>
      <c r="M21" s="1">
        <v>0</v>
      </c>
      <c r="O21" s="8">
        <f>G24</f>
        <v>1.866266915560467</v>
      </c>
      <c r="P21" s="1">
        <v>0</v>
      </c>
    </row>
    <row r="22" spans="3:19" x14ac:dyDescent="0.25">
      <c r="C22" s="1">
        <v>102</v>
      </c>
      <c r="D22" s="1"/>
      <c r="L22" s="8">
        <f>G19</f>
        <v>1.2815515655446006</v>
      </c>
      <c r="M22" s="1">
        <f>_xlfn.NORM.S.DIST(G19,0)</f>
        <v>0.17549833193248679</v>
      </c>
      <c r="O22" s="8">
        <f>G24</f>
        <v>1.866266915560467</v>
      </c>
      <c r="P22" s="1">
        <f>_xlfn.NORM.S.DIST(O22,0)</f>
        <v>6.9919224897214097E-2</v>
      </c>
    </row>
    <row r="23" spans="3:19" x14ac:dyDescent="0.25">
      <c r="C23" s="1">
        <v>73</v>
      </c>
      <c r="D23" s="1"/>
      <c r="F23" s="6" t="s">
        <v>27</v>
      </c>
      <c r="G23" s="6">
        <v>95</v>
      </c>
    </row>
    <row r="24" spans="3:19" x14ac:dyDescent="0.25">
      <c r="C24" s="1">
        <v>98</v>
      </c>
      <c r="D24" s="1"/>
      <c r="F24" s="6" t="s">
        <v>26</v>
      </c>
      <c r="G24" s="38">
        <f>(G7-G23)*SQRT(G8)/G9</f>
        <v>1.866266915560467</v>
      </c>
    </row>
    <row r="25" spans="3:19" x14ac:dyDescent="0.25">
      <c r="C25" s="1">
        <v>116</v>
      </c>
      <c r="D25" s="1"/>
      <c r="F25" s="6" t="s">
        <v>40</v>
      </c>
      <c r="G25" s="39">
        <f>1-_xlfn.NORM.S.DIST(G24,1)</f>
        <v>3.1002015570038233E-2</v>
      </c>
    </row>
    <row r="26" spans="3:19" x14ac:dyDescent="0.25">
      <c r="C26" s="1">
        <v>92</v>
      </c>
      <c r="D26" s="1"/>
    </row>
    <row r="27" spans="3:19" x14ac:dyDescent="0.25">
      <c r="C27" s="1">
        <v>86</v>
      </c>
      <c r="D27" s="1"/>
      <c r="F27" s="6" t="s">
        <v>133</v>
      </c>
    </row>
    <row r="28" spans="3:19" x14ac:dyDescent="0.25">
      <c r="C28" s="1">
        <v>96</v>
      </c>
      <c r="D28" s="1"/>
      <c r="F28" s="6" t="s">
        <v>134</v>
      </c>
    </row>
    <row r="29" spans="3:19" x14ac:dyDescent="0.25">
      <c r="C29" s="1">
        <v>115</v>
      </c>
      <c r="D29" s="1"/>
    </row>
    <row r="30" spans="3:19" x14ac:dyDescent="0.25">
      <c r="C30" s="1">
        <v>85</v>
      </c>
      <c r="D30" s="1"/>
    </row>
    <row r="31" spans="3:19" x14ac:dyDescent="0.25">
      <c r="C31" s="1">
        <v>94</v>
      </c>
      <c r="D31" s="1"/>
    </row>
    <row r="32" spans="3:19" x14ac:dyDescent="0.25">
      <c r="C32" s="1">
        <v>99</v>
      </c>
      <c r="D32" s="1"/>
    </row>
    <row r="33" spans="3:4" x14ac:dyDescent="0.25">
      <c r="C33" s="1">
        <v>104</v>
      </c>
      <c r="D33" s="1"/>
    </row>
    <row r="34" spans="3:4" x14ac:dyDescent="0.25">
      <c r="C34" s="1">
        <v>98</v>
      </c>
      <c r="D34" s="1"/>
    </row>
    <row r="35" spans="3:4" x14ac:dyDescent="0.25">
      <c r="C35" s="1">
        <v>95</v>
      </c>
      <c r="D35" s="1"/>
    </row>
    <row r="36" spans="3:4" x14ac:dyDescent="0.25">
      <c r="C36" s="1">
        <v>106</v>
      </c>
      <c r="D36" s="1"/>
    </row>
    <row r="37" spans="3:4" x14ac:dyDescent="0.25">
      <c r="C37" s="1">
        <v>74</v>
      </c>
      <c r="D37" s="1"/>
    </row>
    <row r="38" spans="3:4" x14ac:dyDescent="0.25">
      <c r="C38" s="1">
        <v>108</v>
      </c>
      <c r="D38" s="1"/>
    </row>
    <row r="39" spans="3:4" x14ac:dyDescent="0.25">
      <c r="C39" s="1">
        <v>108</v>
      </c>
      <c r="D39" s="1"/>
    </row>
    <row r="40" spans="3:4" x14ac:dyDescent="0.25">
      <c r="C40" s="1">
        <v>111</v>
      </c>
      <c r="D40" s="1"/>
    </row>
    <row r="41" spans="3:4" x14ac:dyDescent="0.25">
      <c r="C41" s="1">
        <v>112</v>
      </c>
      <c r="D41" s="1"/>
    </row>
    <row r="42" spans="3:4" x14ac:dyDescent="0.25">
      <c r="C42" s="1">
        <v>82</v>
      </c>
      <c r="D42" s="1"/>
    </row>
    <row r="43" spans="3:4" x14ac:dyDescent="0.25">
      <c r="C43" s="1">
        <v>115</v>
      </c>
      <c r="D4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workbookViewId="0">
      <selection activeCell="J12" sqref="J12"/>
    </sheetView>
  </sheetViews>
  <sheetFormatPr defaultRowHeight="15" x14ac:dyDescent="0.25"/>
  <cols>
    <col min="1" max="1" width="50.28515625" customWidth="1"/>
    <col min="6" max="6" width="26.42578125" customWidth="1"/>
    <col min="7" max="7" width="10.28515625" bestFit="1" customWidth="1"/>
    <col min="12" max="16" width="9.140625" style="1"/>
    <col min="18" max="18" width="9.140625" style="1"/>
    <col min="19" max="19" width="17.140625" style="1" customWidth="1"/>
  </cols>
  <sheetData>
    <row r="1" spans="1:19" ht="15.75" thickBot="1" x14ac:dyDescent="0.3">
      <c r="D1" s="15" t="s">
        <v>0</v>
      </c>
      <c r="E1" s="5" t="s">
        <v>9</v>
      </c>
      <c r="F1" s="5"/>
      <c r="G1" s="5"/>
      <c r="H1" s="5"/>
      <c r="R1" s="1" t="s">
        <v>31</v>
      </c>
      <c r="S1" s="1" t="s">
        <v>43</v>
      </c>
    </row>
    <row r="2" spans="1:19" ht="15.75" thickTop="1" x14ac:dyDescent="0.25">
      <c r="D2" s="14">
        <v>103</v>
      </c>
      <c r="G2" s="1"/>
      <c r="R2" s="1">
        <v>-4</v>
      </c>
      <c r="S2" s="1">
        <f>_xlfn.T.DIST(R2,5,0)</f>
        <v>5.1237270519179116E-3</v>
      </c>
    </row>
    <row r="3" spans="1:19" x14ac:dyDescent="0.25">
      <c r="D3" s="14">
        <v>100</v>
      </c>
      <c r="F3" t="s">
        <v>18</v>
      </c>
      <c r="G3" s="6">
        <f>COUNT(D2:D7)</f>
        <v>6</v>
      </c>
      <c r="L3" s="1">
        <f>G8</f>
        <v>-2.0150483733330233</v>
      </c>
      <c r="M3" s="1">
        <v>0</v>
      </c>
      <c r="N3" s="1">
        <f>G7</f>
        <v>2.0150483733330233</v>
      </c>
      <c r="O3" s="1">
        <v>0</v>
      </c>
      <c r="R3" s="1">
        <f>R2+0.5</f>
        <v>-3.5</v>
      </c>
      <c r="S3" s="1">
        <f t="shared" ref="S3:S18" si="0">_xlfn.T.DIST(R3,5,0)</f>
        <v>9.244354092520923E-3</v>
      </c>
    </row>
    <row r="4" spans="1:19" x14ac:dyDescent="0.25">
      <c r="D4" s="14">
        <v>92</v>
      </c>
      <c r="F4" t="s">
        <v>135</v>
      </c>
      <c r="G4" s="6">
        <f>G3-1</f>
        <v>5</v>
      </c>
      <c r="L4" s="1">
        <f>G8</f>
        <v>-2.0150483733330233</v>
      </c>
      <c r="M4" s="1">
        <f>_xlfn.T.DIST(L4,5,0)</f>
        <v>6.3796798894974832E-2</v>
      </c>
      <c r="N4" s="1">
        <f>G7</f>
        <v>2.0150483733330233</v>
      </c>
      <c r="O4" s="1">
        <f>_xlfn.T.DIST(N4,5,0)</f>
        <v>6.3796798894974832E-2</v>
      </c>
      <c r="R4" s="1">
        <f t="shared" ref="R4:R18" si="1">R3+0.5</f>
        <v>-3</v>
      </c>
      <c r="S4" s="1">
        <f t="shared" si="0"/>
        <v>1.7292578800222964E-2</v>
      </c>
    </row>
    <row r="5" spans="1:19" x14ac:dyDescent="0.25">
      <c r="D5" s="14">
        <v>100</v>
      </c>
      <c r="E5" t="s">
        <v>2</v>
      </c>
      <c r="F5" t="s">
        <v>41</v>
      </c>
      <c r="G5" s="6">
        <v>0.9</v>
      </c>
      <c r="R5" s="1">
        <f t="shared" si="1"/>
        <v>-2.5</v>
      </c>
      <c r="S5" s="1">
        <f t="shared" si="0"/>
        <v>3.3326238887022831E-2</v>
      </c>
    </row>
    <row r="6" spans="1:19" x14ac:dyDescent="0.25">
      <c r="D6" s="14">
        <v>111</v>
      </c>
      <c r="E6" t="s">
        <v>2</v>
      </c>
      <c r="F6" t="s">
        <v>42</v>
      </c>
      <c r="G6" s="6">
        <f>(1-G5)/2</f>
        <v>4.9999999999999989E-2</v>
      </c>
      <c r="R6" s="1">
        <f t="shared" si="1"/>
        <v>-2</v>
      </c>
      <c r="S6" s="1">
        <f t="shared" si="0"/>
        <v>6.5090310326216497E-2</v>
      </c>
    </row>
    <row r="7" spans="1:19" x14ac:dyDescent="0.25">
      <c r="D7" s="14">
        <v>88</v>
      </c>
      <c r="E7" t="s">
        <v>2</v>
      </c>
      <c r="F7" t="s">
        <v>44</v>
      </c>
      <c r="G7" s="9">
        <f>_xlfn.T.INV((1+G5)/2, G4)</f>
        <v>2.0150483733330233</v>
      </c>
      <c r="R7" s="1">
        <f t="shared" si="1"/>
        <v>-1.5</v>
      </c>
      <c r="S7" s="1">
        <f t="shared" si="0"/>
        <v>0.12451734464635514</v>
      </c>
    </row>
    <row r="8" spans="1:19" x14ac:dyDescent="0.25">
      <c r="D8" s="1"/>
      <c r="E8" t="s">
        <v>2</v>
      </c>
      <c r="F8" t="s">
        <v>32</v>
      </c>
      <c r="G8" s="9">
        <f>-G7</f>
        <v>-2.0150483733330233</v>
      </c>
      <c r="R8" s="1">
        <f t="shared" si="1"/>
        <v>-1</v>
      </c>
      <c r="S8" s="1">
        <f t="shared" si="0"/>
        <v>0.2196797973509807</v>
      </c>
    </row>
    <row r="9" spans="1:19" x14ac:dyDescent="0.25">
      <c r="D9" s="1"/>
      <c r="F9" t="s">
        <v>17</v>
      </c>
      <c r="G9" s="6">
        <f>AVERAGE(D2:D7)</f>
        <v>99</v>
      </c>
      <c r="R9" s="1">
        <f t="shared" si="1"/>
        <v>-0.5</v>
      </c>
      <c r="S9" s="1">
        <f t="shared" si="0"/>
        <v>0.32791853132274656</v>
      </c>
    </row>
    <row r="10" spans="1:19" x14ac:dyDescent="0.25">
      <c r="D10" s="1"/>
      <c r="G10" s="6"/>
      <c r="R10" s="1">
        <f t="shared" si="1"/>
        <v>0</v>
      </c>
      <c r="S10" s="1">
        <f t="shared" si="0"/>
        <v>0.37960668982249451</v>
      </c>
    </row>
    <row r="11" spans="1:19" x14ac:dyDescent="0.25">
      <c r="D11" s="1"/>
      <c r="F11" t="s">
        <v>19</v>
      </c>
      <c r="G11" s="9">
        <f>_xlfn.STDEV.S(D2:D7)</f>
        <v>8.1486195149853451</v>
      </c>
      <c r="R11" s="1">
        <f t="shared" si="1"/>
        <v>0.5</v>
      </c>
      <c r="S11" s="1">
        <f t="shared" si="0"/>
        <v>0.32791853132274656</v>
      </c>
    </row>
    <row r="12" spans="1:19" ht="21" x14ac:dyDescent="0.35">
      <c r="A12" s="3" t="s">
        <v>65</v>
      </c>
      <c r="D12" s="1"/>
      <c r="F12" s="2" t="s">
        <v>20</v>
      </c>
      <c r="G12" s="37">
        <f>G7*G11/SQRT(G3)</f>
        <v>6.7033807946973685</v>
      </c>
      <c r="R12" s="1">
        <f t="shared" si="1"/>
        <v>1</v>
      </c>
      <c r="S12" s="1">
        <f t="shared" si="0"/>
        <v>0.2196797973509807</v>
      </c>
    </row>
    <row r="13" spans="1:19" ht="21" x14ac:dyDescent="0.35">
      <c r="A13" s="4" t="s">
        <v>66</v>
      </c>
      <c r="D13" s="1"/>
      <c r="F13" s="2" t="s">
        <v>21</v>
      </c>
      <c r="G13" s="37">
        <f>G9-G12</f>
        <v>92.296619205302633</v>
      </c>
      <c r="R13" s="1">
        <f t="shared" si="1"/>
        <v>1.5</v>
      </c>
      <c r="S13" s="1">
        <f t="shared" si="0"/>
        <v>0.12451734464635514</v>
      </c>
    </row>
    <row r="14" spans="1:19" ht="21" x14ac:dyDescent="0.35">
      <c r="A14" s="4" t="s">
        <v>67</v>
      </c>
      <c r="D14" s="1"/>
      <c r="F14" s="2" t="s">
        <v>22</v>
      </c>
      <c r="G14" s="37">
        <f>G9+G12</f>
        <v>105.70338079469737</v>
      </c>
      <c r="H14" s="1"/>
      <c r="I14" s="1"/>
      <c r="J14" s="1"/>
      <c r="K14" s="1"/>
      <c r="R14" s="1">
        <f t="shared" si="1"/>
        <v>2</v>
      </c>
      <c r="S14" s="1">
        <f t="shared" si="0"/>
        <v>6.5090310326216497E-2</v>
      </c>
    </row>
    <row r="15" spans="1:19" x14ac:dyDescent="0.25">
      <c r="D15" s="1"/>
      <c r="G15" s="1"/>
      <c r="H15" s="1"/>
      <c r="I15" s="1"/>
      <c r="R15" s="1">
        <f t="shared" si="1"/>
        <v>2.5</v>
      </c>
      <c r="S15" s="1">
        <f t="shared" si="0"/>
        <v>3.3326238887022831E-2</v>
      </c>
    </row>
    <row r="16" spans="1:19" x14ac:dyDescent="0.25">
      <c r="D16" s="1"/>
      <c r="E16" s="1"/>
      <c r="F16" s="1"/>
      <c r="G16" s="1"/>
      <c r="H16" s="1"/>
      <c r="I16" s="1"/>
      <c r="R16" s="1">
        <f t="shared" si="1"/>
        <v>3</v>
      </c>
      <c r="S16" s="1">
        <f t="shared" si="0"/>
        <v>1.7292578800222964E-2</v>
      </c>
    </row>
    <row r="17" spans="4:19" x14ac:dyDescent="0.25">
      <c r="D17" s="1"/>
      <c r="E17" s="5" t="s">
        <v>34</v>
      </c>
      <c r="F17" s="5"/>
      <c r="G17" s="14"/>
      <c r="H17" s="5"/>
      <c r="R17" s="1">
        <f t="shared" si="1"/>
        <v>3.5</v>
      </c>
      <c r="S17" s="1">
        <f t="shared" si="0"/>
        <v>9.244354092520923E-3</v>
      </c>
    </row>
    <row r="18" spans="4:19" x14ac:dyDescent="0.25">
      <c r="D18" s="1"/>
      <c r="F18" s="6" t="s">
        <v>23</v>
      </c>
      <c r="G18" s="40">
        <v>0.05</v>
      </c>
      <c r="R18" s="1">
        <f t="shared" si="1"/>
        <v>4</v>
      </c>
      <c r="S18" s="1">
        <f t="shared" si="0"/>
        <v>5.1237270519179116E-3</v>
      </c>
    </row>
    <row r="19" spans="4:19" x14ac:dyDescent="0.25">
      <c r="D19" s="1"/>
      <c r="F19" s="6" t="s">
        <v>38</v>
      </c>
      <c r="G19" s="38">
        <f>_xlfn.T.INV(1-G18/2,G4)</f>
        <v>2.570581835636315</v>
      </c>
      <c r="R19" s="1" t="s">
        <v>2</v>
      </c>
      <c r="S19" s="1" t="s">
        <v>2</v>
      </c>
    </row>
    <row r="20" spans="4:19" x14ac:dyDescent="0.25">
      <c r="D20" s="1"/>
      <c r="F20" s="6" t="s">
        <v>39</v>
      </c>
      <c r="G20" s="9">
        <f>_xlfn.T.INV(G18/2, G4)</f>
        <v>-2.570581835636315</v>
      </c>
      <c r="R20" s="1" t="s">
        <v>2</v>
      </c>
      <c r="S20" s="1" t="s">
        <v>2</v>
      </c>
    </row>
    <row r="21" spans="4:19" x14ac:dyDescent="0.25">
      <c r="D21" s="1"/>
      <c r="F21" s="6" t="s">
        <v>36</v>
      </c>
      <c r="G21" s="1"/>
      <c r="L21" s="8">
        <f>G19</f>
        <v>2.570581835636315</v>
      </c>
      <c r="M21" s="1">
        <v>0</v>
      </c>
      <c r="O21" s="8">
        <f>G20</f>
        <v>-2.570581835636315</v>
      </c>
      <c r="P21" s="1">
        <v>0</v>
      </c>
    </row>
    <row r="22" spans="4:19" x14ac:dyDescent="0.25">
      <c r="D22" s="1"/>
      <c r="F22" s="6" t="s">
        <v>35</v>
      </c>
      <c r="G22" s="1"/>
      <c r="L22" s="8">
        <f>G19</f>
        <v>2.570581835636315</v>
      </c>
      <c r="M22" s="1">
        <f>_xlfn.NORM.S.DIST(G19,0)</f>
        <v>1.4656314389140125E-2</v>
      </c>
      <c r="O22" s="8">
        <f>G20</f>
        <v>-2.570581835636315</v>
      </c>
      <c r="P22" s="1">
        <f>M22</f>
        <v>1.4656314389140125E-2</v>
      </c>
    </row>
    <row r="23" spans="4:19" x14ac:dyDescent="0.25">
      <c r="D23" s="1"/>
      <c r="F23" s="6" t="s">
        <v>27</v>
      </c>
      <c r="G23" s="6">
        <v>95</v>
      </c>
    </row>
    <row r="24" spans="4:19" x14ac:dyDescent="0.25">
      <c r="D24" s="1"/>
      <c r="F24" s="6" t="s">
        <v>37</v>
      </c>
      <c r="G24" s="38">
        <f>(G9-G23)*SQRT(G3)/G11</f>
        <v>1.2024072240843033</v>
      </c>
      <c r="L24" s="8">
        <f>G24</f>
        <v>1.2024072240843033</v>
      </c>
      <c r="M24" s="1">
        <v>0</v>
      </c>
    </row>
    <row r="25" spans="4:19" x14ac:dyDescent="0.25">
      <c r="D25" s="1"/>
      <c r="F25" s="6" t="s">
        <v>40</v>
      </c>
      <c r="G25" s="39">
        <f>2*(1-_xlfn.T.DIST(G24,G4,1))</f>
        <v>0.28303687888736939</v>
      </c>
      <c r="L25" s="8">
        <f>G24</f>
        <v>1.2024072240843033</v>
      </c>
      <c r="M25" s="1">
        <f>_xlfn.NORM.S.DIST(L25,0)</f>
        <v>0.1936253641654738</v>
      </c>
    </row>
    <row r="26" spans="4:19" x14ac:dyDescent="0.25">
      <c r="D26" s="1"/>
    </row>
    <row r="27" spans="4:19" x14ac:dyDescent="0.25">
      <c r="D27" s="1"/>
      <c r="F27" s="6" t="s">
        <v>136</v>
      </c>
    </row>
    <row r="28" spans="4:19" x14ac:dyDescent="0.25">
      <c r="D28" s="1"/>
      <c r="F28" s="6" t="s">
        <v>137</v>
      </c>
    </row>
    <row r="29" spans="4:19" x14ac:dyDescent="0.25">
      <c r="D29" s="1"/>
    </row>
    <row r="30" spans="4:19" x14ac:dyDescent="0.25">
      <c r="D30" s="1"/>
    </row>
    <row r="31" spans="4:19" x14ac:dyDescent="0.25">
      <c r="D31" s="1"/>
    </row>
    <row r="32" spans="4:19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147"/>
  <sheetViews>
    <sheetView workbookViewId="0">
      <selection activeCell="A5" sqref="A5"/>
    </sheetView>
  </sheetViews>
  <sheetFormatPr defaultRowHeight="15" x14ac:dyDescent="0.25"/>
  <cols>
    <col min="1" max="1" width="76.7109375" customWidth="1"/>
    <col min="2" max="2" width="5.5703125" customWidth="1"/>
    <col min="3" max="3" width="9.140625" style="1"/>
    <col min="6" max="6" width="25.28515625" customWidth="1"/>
  </cols>
  <sheetData>
    <row r="1" spans="3:17" ht="15.75" thickBot="1" x14ac:dyDescent="0.3">
      <c r="C1" s="15" t="s">
        <v>0</v>
      </c>
      <c r="F1" s="5" t="s">
        <v>139</v>
      </c>
      <c r="G1" s="13"/>
      <c r="H1" s="13"/>
      <c r="I1" s="13"/>
      <c r="J1" s="13"/>
      <c r="K1" s="13"/>
      <c r="L1" s="13"/>
      <c r="P1" s="1" t="s">
        <v>1</v>
      </c>
      <c r="Q1" s="1" t="s">
        <v>3</v>
      </c>
    </row>
    <row r="2" spans="3:17" ht="15.75" thickTop="1" x14ac:dyDescent="0.25">
      <c r="C2" s="16">
        <v>89</v>
      </c>
      <c r="F2" t="s">
        <v>138</v>
      </c>
      <c r="P2" s="1">
        <v>-4</v>
      </c>
      <c r="Q2" s="1">
        <f>_xlfn.NORM.S.DIST(P2,0)</f>
        <v>1.3383022576488537E-4</v>
      </c>
    </row>
    <row r="3" spans="3:17" x14ac:dyDescent="0.25">
      <c r="C3" s="16">
        <v>88</v>
      </c>
      <c r="F3" t="s">
        <v>45</v>
      </c>
      <c r="G3" s="6">
        <f>COUNT(C2:C147)</f>
        <v>146</v>
      </c>
      <c r="P3" s="1">
        <f>P2+0.5</f>
        <v>-3.5</v>
      </c>
      <c r="Q3" s="1">
        <f t="shared" ref="Q3:Q18" si="0">_xlfn.NORM.S.DIST(P3,0)</f>
        <v>8.7268269504576015E-4</v>
      </c>
    </row>
    <row r="4" spans="3:17" x14ac:dyDescent="0.25">
      <c r="C4" s="16">
        <v>61</v>
      </c>
      <c r="F4" t="s">
        <v>46</v>
      </c>
      <c r="G4" s="6">
        <f>COUNTIF(C2:C147,"&lt;"&amp;70)</f>
        <v>57</v>
      </c>
      <c r="K4" s="8">
        <f>G11</f>
        <v>-1.4395314709384563</v>
      </c>
      <c r="L4" s="1">
        <v>0</v>
      </c>
      <c r="M4" s="8">
        <f>G10</f>
        <v>1.4395314709384563</v>
      </c>
      <c r="N4" s="1">
        <v>0</v>
      </c>
      <c r="P4" s="1">
        <f t="shared" ref="P4:P18" si="1">P3+0.5</f>
        <v>-3</v>
      </c>
      <c r="Q4" s="1">
        <f t="shared" si="0"/>
        <v>4.4318484119380075E-3</v>
      </c>
    </row>
    <row r="5" spans="3:17" x14ac:dyDescent="0.25">
      <c r="C5" s="16">
        <v>83</v>
      </c>
      <c r="F5" t="s">
        <v>47</v>
      </c>
      <c r="G5" s="12">
        <f>G4/G3</f>
        <v>0.3904109589041096</v>
      </c>
      <c r="K5" s="8">
        <f>G11</f>
        <v>-1.4395314709384563</v>
      </c>
      <c r="L5" s="1">
        <f>_xlfn.NORM.S.DIST(K5,0)</f>
        <v>0.14155542236181407</v>
      </c>
      <c r="M5" s="8">
        <f>G10</f>
        <v>1.4395314709384563</v>
      </c>
      <c r="N5" s="1">
        <f>_xlfn.NORM.S.DIST(M5,0)</f>
        <v>0.14155542236181407</v>
      </c>
      <c r="P5" s="1">
        <f t="shared" si="1"/>
        <v>-2.5</v>
      </c>
      <c r="Q5" s="1">
        <f t="shared" si="0"/>
        <v>1.752830049356854E-2</v>
      </c>
    </row>
    <row r="6" spans="3:17" x14ac:dyDescent="0.25">
      <c r="C6" s="16">
        <v>96</v>
      </c>
      <c r="F6" s="17" t="s">
        <v>48</v>
      </c>
      <c r="G6" s="12">
        <f>G5</f>
        <v>0.3904109589041096</v>
      </c>
      <c r="P6" s="1">
        <f t="shared" si="1"/>
        <v>-2</v>
      </c>
      <c r="Q6" s="1">
        <f t="shared" si="0"/>
        <v>5.3990966513188063E-2</v>
      </c>
    </row>
    <row r="7" spans="3:17" x14ac:dyDescent="0.25">
      <c r="C7" s="16">
        <v>48</v>
      </c>
      <c r="F7" s="17" t="s">
        <v>49</v>
      </c>
      <c r="G7" s="12">
        <f>1-G6</f>
        <v>0.6095890410958904</v>
      </c>
      <c r="P7" s="1">
        <f t="shared" si="1"/>
        <v>-1.5</v>
      </c>
      <c r="Q7" s="1">
        <f t="shared" si="0"/>
        <v>0.12951759566589174</v>
      </c>
    </row>
    <row r="8" spans="3:17" x14ac:dyDescent="0.25">
      <c r="C8" s="16">
        <v>82</v>
      </c>
      <c r="F8" t="s">
        <v>41</v>
      </c>
      <c r="G8" s="6">
        <v>0.85</v>
      </c>
      <c r="P8" s="1">
        <f t="shared" si="1"/>
        <v>-1</v>
      </c>
      <c r="Q8" s="1">
        <f t="shared" si="0"/>
        <v>0.24197072451914337</v>
      </c>
    </row>
    <row r="9" spans="3:17" x14ac:dyDescent="0.25">
      <c r="C9" s="16">
        <v>92</v>
      </c>
      <c r="F9" t="s">
        <v>42</v>
      </c>
      <c r="G9" s="6">
        <f>(1-G8)/2</f>
        <v>7.5000000000000011E-2</v>
      </c>
      <c r="P9" s="1">
        <f t="shared" si="1"/>
        <v>-0.5</v>
      </c>
      <c r="Q9" s="1">
        <f t="shared" si="0"/>
        <v>0.35206532676429952</v>
      </c>
    </row>
    <row r="10" spans="3:17" x14ac:dyDescent="0.25">
      <c r="C10" s="16">
        <v>77</v>
      </c>
      <c r="F10" t="s">
        <v>50</v>
      </c>
      <c r="G10" s="9">
        <f>_xlfn.NORM.S.INV((1+G8)/2)</f>
        <v>1.4395314709384563</v>
      </c>
      <c r="H10" t="s">
        <v>2</v>
      </c>
      <c r="P10" s="1">
        <f t="shared" si="1"/>
        <v>0</v>
      </c>
      <c r="Q10" s="1">
        <f t="shared" si="0"/>
        <v>0.3989422804014327</v>
      </c>
    </row>
    <row r="11" spans="3:17" x14ac:dyDescent="0.25">
      <c r="C11" s="16">
        <v>93</v>
      </c>
      <c r="F11" t="s">
        <v>51</v>
      </c>
      <c r="G11" s="9">
        <f>-G10</f>
        <v>-1.4395314709384563</v>
      </c>
      <c r="P11" s="1">
        <f t="shared" si="1"/>
        <v>0.5</v>
      </c>
      <c r="Q11" s="1">
        <f t="shared" si="0"/>
        <v>0.35206532676429952</v>
      </c>
    </row>
    <row r="12" spans="3:17" x14ac:dyDescent="0.25">
      <c r="C12" s="16">
        <v>97</v>
      </c>
      <c r="G12" s="6"/>
      <c r="P12" s="1">
        <f t="shared" si="1"/>
        <v>1</v>
      </c>
      <c r="Q12" s="1">
        <f t="shared" si="0"/>
        <v>0.24197072451914337</v>
      </c>
    </row>
    <row r="13" spans="3:17" x14ac:dyDescent="0.25">
      <c r="C13" s="16">
        <v>55</v>
      </c>
      <c r="F13" t="s">
        <v>52</v>
      </c>
      <c r="G13" s="6">
        <f>G10*SQRT(G6*G7/G3)</f>
        <v>5.8119826787633895E-2</v>
      </c>
      <c r="P13" s="1">
        <f t="shared" si="1"/>
        <v>1.5</v>
      </c>
      <c r="Q13" s="1">
        <f t="shared" si="0"/>
        <v>0.12951759566589174</v>
      </c>
    </row>
    <row r="14" spans="3:17" x14ac:dyDescent="0.25">
      <c r="C14" s="16">
        <v>45</v>
      </c>
      <c r="F14" t="s">
        <v>53</v>
      </c>
      <c r="G14" s="12">
        <f>G6-G13</f>
        <v>0.33229113211647571</v>
      </c>
      <c r="H14" s="18">
        <f>G14</f>
        <v>0.33229113211647571</v>
      </c>
      <c r="P14" s="1">
        <f t="shared" si="1"/>
        <v>2</v>
      </c>
      <c r="Q14" s="1">
        <f t="shared" si="0"/>
        <v>5.3990966513188063E-2</v>
      </c>
    </row>
    <row r="15" spans="3:17" x14ac:dyDescent="0.25">
      <c r="C15" s="16">
        <v>72</v>
      </c>
      <c r="F15" t="s">
        <v>54</v>
      </c>
      <c r="G15" s="12">
        <f>G6+G13</f>
        <v>0.44853078569174348</v>
      </c>
      <c r="H15" s="18">
        <f>G15</f>
        <v>0.44853078569174348</v>
      </c>
      <c r="P15" s="1">
        <f t="shared" si="1"/>
        <v>2.5</v>
      </c>
      <c r="Q15" s="1">
        <f t="shared" si="0"/>
        <v>1.752830049356854E-2</v>
      </c>
    </row>
    <row r="16" spans="3:17" x14ac:dyDescent="0.25">
      <c r="C16" s="16">
        <v>52</v>
      </c>
      <c r="K16" t="s">
        <v>2</v>
      </c>
      <c r="P16" s="1">
        <f t="shared" si="1"/>
        <v>3</v>
      </c>
      <c r="Q16" s="1">
        <f t="shared" si="0"/>
        <v>4.4318484119380075E-3</v>
      </c>
    </row>
    <row r="17" spans="3:17" x14ac:dyDescent="0.25">
      <c r="C17" s="16">
        <v>87</v>
      </c>
      <c r="F17" s="5" t="s">
        <v>55</v>
      </c>
      <c r="G17" s="13"/>
      <c r="H17" s="13"/>
      <c r="I17" s="13"/>
      <c r="J17" s="13"/>
      <c r="K17" s="13"/>
      <c r="L17" s="13"/>
      <c r="P17" s="1">
        <f t="shared" si="1"/>
        <v>3.5</v>
      </c>
      <c r="Q17" s="1">
        <f t="shared" si="0"/>
        <v>8.7268269504576015E-4</v>
      </c>
    </row>
    <row r="18" spans="3:17" x14ac:dyDescent="0.25">
      <c r="C18" s="16">
        <v>60</v>
      </c>
      <c r="F18" s="5" t="s">
        <v>56</v>
      </c>
      <c r="G18" s="13"/>
      <c r="H18" s="13"/>
      <c r="I18" s="13"/>
      <c r="J18" s="13"/>
      <c r="K18" s="13"/>
      <c r="L18" s="13"/>
      <c r="P18" s="1">
        <f t="shared" si="1"/>
        <v>4</v>
      </c>
      <c r="Q18" s="1">
        <f t="shared" si="0"/>
        <v>1.3383022576488537E-4</v>
      </c>
    </row>
    <row r="19" spans="3:17" x14ac:dyDescent="0.25">
      <c r="C19" s="16">
        <v>51</v>
      </c>
      <c r="F19" s="19" t="s">
        <v>57</v>
      </c>
      <c r="G19" s="6">
        <f>2%</f>
        <v>0.02</v>
      </c>
    </row>
    <row r="20" spans="3:17" x14ac:dyDescent="0.25">
      <c r="C20" s="16">
        <v>67</v>
      </c>
      <c r="F20" s="17" t="s">
        <v>58</v>
      </c>
      <c r="G20" s="20">
        <f>CEILING(0.5*0.5*(G10/G19)^2, 1)</f>
        <v>1296</v>
      </c>
      <c r="H20">
        <f>CEILING(G6*G7*(G10/G19)^2, 1)</f>
        <v>1233</v>
      </c>
      <c r="K20" t="s">
        <v>2</v>
      </c>
    </row>
    <row r="21" spans="3:17" x14ac:dyDescent="0.25">
      <c r="C21" s="16">
        <v>56</v>
      </c>
      <c r="H21" t="s">
        <v>33</v>
      </c>
    </row>
    <row r="22" spans="3:17" x14ac:dyDescent="0.25">
      <c r="C22" s="16">
        <v>44</v>
      </c>
    </row>
    <row r="23" spans="3:17" x14ac:dyDescent="0.25">
      <c r="C23" s="16">
        <v>87</v>
      </c>
      <c r="F23" s="5" t="s">
        <v>59</v>
      </c>
      <c r="G23" s="5"/>
      <c r="H23" s="14"/>
      <c r="I23" s="5"/>
      <c r="L23" s="7">
        <f>G27</f>
        <v>-1.2815515655446006</v>
      </c>
      <c r="M23">
        <v>0</v>
      </c>
      <c r="N23" s="7">
        <f>G31</f>
        <v>-1.4472888726672539</v>
      </c>
      <c r="O23">
        <v>0</v>
      </c>
    </row>
    <row r="24" spans="3:17" x14ac:dyDescent="0.25">
      <c r="C24" s="16">
        <v>78</v>
      </c>
      <c r="F24" s="6" t="s">
        <v>23</v>
      </c>
      <c r="G24" s="40">
        <v>0.1</v>
      </c>
      <c r="L24" s="7">
        <f>G27</f>
        <v>-1.2815515655446006</v>
      </c>
      <c r="M24">
        <f>_xlfn.NORM.S.DIST(L24,0)</f>
        <v>0.17549833193248679</v>
      </c>
      <c r="N24" s="7">
        <f>G31</f>
        <v>-1.4472888726672539</v>
      </c>
      <c r="O24">
        <f>_xlfn.NORM.S.DIST(N24,0)</f>
        <v>0.13997925111500076</v>
      </c>
    </row>
    <row r="25" spans="3:17" x14ac:dyDescent="0.25">
      <c r="C25" s="16">
        <v>99</v>
      </c>
      <c r="F25" s="6" t="s">
        <v>61</v>
      </c>
      <c r="G25" s="9" t="s">
        <v>2</v>
      </c>
    </row>
    <row r="26" spans="3:17" x14ac:dyDescent="0.25">
      <c r="C26" s="16">
        <v>69</v>
      </c>
      <c r="F26" s="6" t="s">
        <v>62</v>
      </c>
      <c r="G26" s="9" t="s">
        <v>2</v>
      </c>
    </row>
    <row r="27" spans="3:17" x14ac:dyDescent="0.25">
      <c r="C27" s="16">
        <v>49</v>
      </c>
      <c r="F27" s="6" t="s">
        <v>60</v>
      </c>
      <c r="G27" s="38">
        <f>_xlfn.NORM.S.INV(G24)</f>
        <v>-1.2815515655446006</v>
      </c>
    </row>
    <row r="28" spans="3:17" x14ac:dyDescent="0.25">
      <c r="C28" s="16">
        <v>95</v>
      </c>
      <c r="F28" s="6" t="s">
        <v>63</v>
      </c>
      <c r="G28" s="6">
        <f>0.45</f>
        <v>0.45</v>
      </c>
    </row>
    <row r="29" spans="3:17" x14ac:dyDescent="0.25">
      <c r="C29" s="16">
        <v>71</v>
      </c>
      <c r="F29" s="19" t="s">
        <v>64</v>
      </c>
      <c r="G29" s="6">
        <f>1-G28</f>
        <v>0.55000000000000004</v>
      </c>
    </row>
    <row r="30" spans="3:17" x14ac:dyDescent="0.25">
      <c r="C30" s="16">
        <v>81</v>
      </c>
      <c r="F30" s="6" t="s">
        <v>47</v>
      </c>
      <c r="G30" s="12">
        <f>G5</f>
        <v>0.3904109589041096</v>
      </c>
    </row>
    <row r="31" spans="3:17" x14ac:dyDescent="0.25">
      <c r="C31" s="16">
        <v>46</v>
      </c>
      <c r="F31" s="6" t="s">
        <v>26</v>
      </c>
      <c r="G31" s="38">
        <f>(G30-G28)/SQRT(G28*G29/G3)</f>
        <v>-1.4472888726672539</v>
      </c>
    </row>
    <row r="32" spans="3:17" x14ac:dyDescent="0.25">
      <c r="C32" s="16">
        <v>58</v>
      </c>
      <c r="F32" s="6" t="s">
        <v>40</v>
      </c>
      <c r="G32" s="39">
        <f>_xlfn.NORM.S.DIST(G31,1)</f>
        <v>7.390801715149771E-2</v>
      </c>
    </row>
    <row r="33" spans="3:6" x14ac:dyDescent="0.25">
      <c r="C33" s="16">
        <v>49</v>
      </c>
    </row>
    <row r="34" spans="3:6" x14ac:dyDescent="0.25">
      <c r="C34" s="16">
        <v>78</v>
      </c>
      <c r="F34" s="6" t="s">
        <v>140</v>
      </c>
    </row>
    <row r="35" spans="3:6" x14ac:dyDescent="0.25">
      <c r="C35" s="16">
        <v>46</v>
      </c>
      <c r="F35" s="6" t="s">
        <v>141</v>
      </c>
    </row>
    <row r="36" spans="3:6" x14ac:dyDescent="0.25">
      <c r="C36" s="16">
        <v>93</v>
      </c>
    </row>
    <row r="37" spans="3:6" x14ac:dyDescent="0.25">
      <c r="C37" s="16">
        <v>79</v>
      </c>
    </row>
    <row r="38" spans="3:6" x14ac:dyDescent="0.25">
      <c r="C38" s="16">
        <v>97</v>
      </c>
    </row>
    <row r="39" spans="3:6" x14ac:dyDescent="0.25">
      <c r="C39" s="16">
        <v>61</v>
      </c>
    </row>
    <row r="40" spans="3:6" x14ac:dyDescent="0.25">
      <c r="C40" s="16">
        <v>61</v>
      </c>
    </row>
    <row r="41" spans="3:6" x14ac:dyDescent="0.25">
      <c r="C41" s="16">
        <v>88</v>
      </c>
    </row>
    <row r="42" spans="3:6" x14ac:dyDescent="0.25">
      <c r="C42" s="16">
        <v>73</v>
      </c>
    </row>
    <row r="43" spans="3:6" x14ac:dyDescent="0.25">
      <c r="C43" s="16">
        <v>81</v>
      </c>
    </row>
    <row r="44" spans="3:6" x14ac:dyDescent="0.25">
      <c r="C44" s="16">
        <v>47</v>
      </c>
    </row>
    <row r="45" spans="3:6" x14ac:dyDescent="0.25">
      <c r="C45" s="16">
        <v>80</v>
      </c>
    </row>
    <row r="46" spans="3:6" x14ac:dyDescent="0.25">
      <c r="C46" s="16">
        <v>58</v>
      </c>
    </row>
    <row r="47" spans="3:6" x14ac:dyDescent="0.25">
      <c r="C47" s="16">
        <v>79</v>
      </c>
    </row>
    <row r="48" spans="3:6" x14ac:dyDescent="0.25">
      <c r="C48" s="16">
        <v>43</v>
      </c>
    </row>
    <row r="49" spans="3:3" x14ac:dyDescent="0.25">
      <c r="C49" s="16">
        <v>81</v>
      </c>
    </row>
    <row r="50" spans="3:3" x14ac:dyDescent="0.25">
      <c r="C50" s="16">
        <v>90</v>
      </c>
    </row>
    <row r="51" spans="3:3" x14ac:dyDescent="0.25">
      <c r="C51" s="16">
        <v>93</v>
      </c>
    </row>
    <row r="52" spans="3:3" x14ac:dyDescent="0.25">
      <c r="C52" s="16">
        <v>83</v>
      </c>
    </row>
    <row r="53" spans="3:3" x14ac:dyDescent="0.25">
      <c r="C53" s="16">
        <v>73</v>
      </c>
    </row>
    <row r="54" spans="3:3" x14ac:dyDescent="0.25">
      <c r="C54" s="16">
        <v>48</v>
      </c>
    </row>
    <row r="55" spans="3:3" x14ac:dyDescent="0.25">
      <c r="C55" s="16">
        <v>59</v>
      </c>
    </row>
    <row r="56" spans="3:3" x14ac:dyDescent="0.25">
      <c r="C56" s="16">
        <v>65</v>
      </c>
    </row>
    <row r="57" spans="3:3" x14ac:dyDescent="0.25">
      <c r="C57" s="16">
        <v>82</v>
      </c>
    </row>
    <row r="58" spans="3:3" x14ac:dyDescent="0.25">
      <c r="C58" s="16">
        <v>89</v>
      </c>
    </row>
    <row r="59" spans="3:3" x14ac:dyDescent="0.25">
      <c r="C59" s="16">
        <v>89</v>
      </c>
    </row>
    <row r="60" spans="3:3" x14ac:dyDescent="0.25">
      <c r="C60" s="16">
        <v>84</v>
      </c>
    </row>
    <row r="61" spans="3:3" x14ac:dyDescent="0.25">
      <c r="C61" s="16">
        <v>97</v>
      </c>
    </row>
    <row r="62" spans="3:3" x14ac:dyDescent="0.25">
      <c r="C62" s="16">
        <v>89</v>
      </c>
    </row>
    <row r="63" spans="3:3" x14ac:dyDescent="0.25">
      <c r="C63" s="16">
        <v>78</v>
      </c>
    </row>
    <row r="64" spans="3:3" x14ac:dyDescent="0.25">
      <c r="C64" s="16">
        <v>58</v>
      </c>
    </row>
    <row r="65" spans="3:3" x14ac:dyDescent="0.25">
      <c r="C65" s="16">
        <v>61</v>
      </c>
    </row>
    <row r="66" spans="3:3" x14ac:dyDescent="0.25">
      <c r="C66" s="16">
        <v>99</v>
      </c>
    </row>
    <row r="67" spans="3:3" x14ac:dyDescent="0.25">
      <c r="C67" s="16">
        <v>74</v>
      </c>
    </row>
    <row r="68" spans="3:3" x14ac:dyDescent="0.25">
      <c r="C68" s="16">
        <v>62</v>
      </c>
    </row>
    <row r="69" spans="3:3" x14ac:dyDescent="0.25">
      <c r="C69" s="16">
        <v>71</v>
      </c>
    </row>
    <row r="70" spans="3:3" x14ac:dyDescent="0.25">
      <c r="C70" s="16">
        <v>75</v>
      </c>
    </row>
    <row r="71" spans="3:3" x14ac:dyDescent="0.25">
      <c r="C71" s="16">
        <v>46</v>
      </c>
    </row>
    <row r="72" spans="3:3" x14ac:dyDescent="0.25">
      <c r="C72" s="16">
        <v>86</v>
      </c>
    </row>
    <row r="73" spans="3:3" x14ac:dyDescent="0.25">
      <c r="C73" s="16">
        <v>94</v>
      </c>
    </row>
    <row r="74" spans="3:3" x14ac:dyDescent="0.25">
      <c r="C74" s="16">
        <v>63</v>
      </c>
    </row>
    <row r="75" spans="3:3" x14ac:dyDescent="0.25">
      <c r="C75" s="16">
        <v>42</v>
      </c>
    </row>
    <row r="76" spans="3:3" x14ac:dyDescent="0.25">
      <c r="C76" s="16">
        <v>65</v>
      </c>
    </row>
    <row r="77" spans="3:3" x14ac:dyDescent="0.25">
      <c r="C77" s="16">
        <v>72</v>
      </c>
    </row>
    <row r="78" spans="3:3" x14ac:dyDescent="0.25">
      <c r="C78" s="16">
        <v>58</v>
      </c>
    </row>
    <row r="79" spans="3:3" x14ac:dyDescent="0.25">
      <c r="C79" s="16">
        <v>62</v>
      </c>
    </row>
    <row r="80" spans="3:3" x14ac:dyDescent="0.25">
      <c r="C80" s="16">
        <v>79</v>
      </c>
    </row>
    <row r="81" spans="3:3" x14ac:dyDescent="0.25">
      <c r="C81" s="16">
        <v>86</v>
      </c>
    </row>
    <row r="82" spans="3:3" x14ac:dyDescent="0.25">
      <c r="C82" s="16">
        <v>46</v>
      </c>
    </row>
    <row r="83" spans="3:3" x14ac:dyDescent="0.25">
      <c r="C83" s="16">
        <v>51</v>
      </c>
    </row>
    <row r="84" spans="3:3" x14ac:dyDescent="0.25">
      <c r="C84" s="16">
        <v>42</v>
      </c>
    </row>
    <row r="85" spans="3:3" x14ac:dyDescent="0.25">
      <c r="C85" s="16">
        <v>99</v>
      </c>
    </row>
    <row r="86" spans="3:3" x14ac:dyDescent="0.25">
      <c r="C86" s="16">
        <v>74</v>
      </c>
    </row>
    <row r="87" spans="3:3" x14ac:dyDescent="0.25">
      <c r="C87" s="16">
        <v>76</v>
      </c>
    </row>
    <row r="88" spans="3:3" x14ac:dyDescent="0.25">
      <c r="C88" s="16">
        <v>84</v>
      </c>
    </row>
    <row r="89" spans="3:3" x14ac:dyDescent="0.25">
      <c r="C89" s="16">
        <v>96</v>
      </c>
    </row>
    <row r="90" spans="3:3" x14ac:dyDescent="0.25">
      <c r="C90" s="16">
        <v>93</v>
      </c>
    </row>
    <row r="91" spans="3:3" x14ac:dyDescent="0.25">
      <c r="C91" s="16">
        <v>95</v>
      </c>
    </row>
    <row r="92" spans="3:3" x14ac:dyDescent="0.25">
      <c r="C92" s="16">
        <v>92</v>
      </c>
    </row>
    <row r="93" spans="3:3" x14ac:dyDescent="0.25">
      <c r="C93" s="16">
        <v>73</v>
      </c>
    </row>
    <row r="94" spans="3:3" x14ac:dyDescent="0.25">
      <c r="C94" s="16">
        <v>69</v>
      </c>
    </row>
    <row r="95" spans="3:3" x14ac:dyDescent="0.25">
      <c r="C95" s="16">
        <v>74</v>
      </c>
    </row>
    <row r="96" spans="3:3" x14ac:dyDescent="0.25">
      <c r="C96" s="16">
        <v>66</v>
      </c>
    </row>
    <row r="97" spans="3:3" x14ac:dyDescent="0.25">
      <c r="C97" s="16">
        <v>65</v>
      </c>
    </row>
    <row r="98" spans="3:3" x14ac:dyDescent="0.25">
      <c r="C98" s="16">
        <v>86</v>
      </c>
    </row>
    <row r="99" spans="3:3" x14ac:dyDescent="0.25">
      <c r="C99" s="16">
        <v>62</v>
      </c>
    </row>
    <row r="100" spans="3:3" x14ac:dyDescent="0.25">
      <c r="C100" s="16">
        <v>98</v>
      </c>
    </row>
    <row r="101" spans="3:3" x14ac:dyDescent="0.25">
      <c r="C101" s="16">
        <v>81</v>
      </c>
    </row>
    <row r="102" spans="3:3" x14ac:dyDescent="0.25">
      <c r="C102" s="16">
        <v>97</v>
      </c>
    </row>
    <row r="103" spans="3:3" x14ac:dyDescent="0.25">
      <c r="C103" s="16">
        <v>58</v>
      </c>
    </row>
    <row r="104" spans="3:3" x14ac:dyDescent="0.25">
      <c r="C104" s="16">
        <v>88</v>
      </c>
    </row>
    <row r="105" spans="3:3" x14ac:dyDescent="0.25">
      <c r="C105" s="16">
        <v>72</v>
      </c>
    </row>
    <row r="106" spans="3:3" x14ac:dyDescent="0.25">
      <c r="C106" s="16">
        <v>78</v>
      </c>
    </row>
    <row r="107" spans="3:3" x14ac:dyDescent="0.25">
      <c r="C107" s="16">
        <v>71</v>
      </c>
    </row>
    <row r="108" spans="3:3" x14ac:dyDescent="0.25">
      <c r="C108" s="16">
        <v>84</v>
      </c>
    </row>
    <row r="109" spans="3:3" x14ac:dyDescent="0.25">
      <c r="C109" s="16">
        <v>86</v>
      </c>
    </row>
    <row r="110" spans="3:3" x14ac:dyDescent="0.25">
      <c r="C110" s="16">
        <v>90</v>
      </c>
    </row>
    <row r="111" spans="3:3" x14ac:dyDescent="0.25">
      <c r="C111" s="16">
        <v>47</v>
      </c>
    </row>
    <row r="112" spans="3:3" x14ac:dyDescent="0.25">
      <c r="C112" s="16">
        <v>56</v>
      </c>
    </row>
    <row r="113" spans="3:3" x14ac:dyDescent="0.25">
      <c r="C113" s="16">
        <v>72</v>
      </c>
    </row>
    <row r="114" spans="3:3" x14ac:dyDescent="0.25">
      <c r="C114" s="16">
        <v>90</v>
      </c>
    </row>
    <row r="115" spans="3:3" x14ac:dyDescent="0.25">
      <c r="C115" s="16">
        <v>95</v>
      </c>
    </row>
    <row r="116" spans="3:3" x14ac:dyDescent="0.25">
      <c r="C116" s="16">
        <v>96</v>
      </c>
    </row>
    <row r="117" spans="3:3" x14ac:dyDescent="0.25">
      <c r="C117" s="16">
        <v>57</v>
      </c>
    </row>
    <row r="118" spans="3:3" x14ac:dyDescent="0.25">
      <c r="C118" s="16">
        <v>90</v>
      </c>
    </row>
    <row r="119" spans="3:3" x14ac:dyDescent="0.25">
      <c r="C119" s="16">
        <v>59</v>
      </c>
    </row>
    <row r="120" spans="3:3" x14ac:dyDescent="0.25">
      <c r="C120" s="16">
        <v>59</v>
      </c>
    </row>
    <row r="121" spans="3:3" x14ac:dyDescent="0.25">
      <c r="C121" s="16">
        <v>48</v>
      </c>
    </row>
    <row r="122" spans="3:3" x14ac:dyDescent="0.25">
      <c r="C122" s="16">
        <v>98</v>
      </c>
    </row>
    <row r="123" spans="3:3" x14ac:dyDescent="0.25">
      <c r="C123" s="16">
        <v>76</v>
      </c>
    </row>
    <row r="124" spans="3:3" x14ac:dyDescent="0.25">
      <c r="C124" s="16">
        <v>50</v>
      </c>
    </row>
    <row r="125" spans="3:3" x14ac:dyDescent="0.25">
      <c r="C125" s="16">
        <v>82</v>
      </c>
    </row>
    <row r="126" spans="3:3" x14ac:dyDescent="0.25">
      <c r="C126" s="16">
        <v>42</v>
      </c>
    </row>
    <row r="127" spans="3:3" x14ac:dyDescent="0.25">
      <c r="C127" s="16">
        <v>78</v>
      </c>
    </row>
    <row r="128" spans="3:3" x14ac:dyDescent="0.25">
      <c r="C128" s="16">
        <v>75</v>
      </c>
    </row>
    <row r="129" spans="3:3" x14ac:dyDescent="0.25">
      <c r="C129" s="16">
        <v>86</v>
      </c>
    </row>
    <row r="130" spans="3:3" x14ac:dyDescent="0.25">
      <c r="C130" s="16">
        <v>77</v>
      </c>
    </row>
    <row r="131" spans="3:3" x14ac:dyDescent="0.25">
      <c r="C131" s="16">
        <v>43</v>
      </c>
    </row>
    <row r="132" spans="3:3" x14ac:dyDescent="0.25">
      <c r="C132" s="16">
        <v>69</v>
      </c>
    </row>
    <row r="133" spans="3:3" x14ac:dyDescent="0.25">
      <c r="C133" s="16">
        <v>56</v>
      </c>
    </row>
    <row r="134" spans="3:3" x14ac:dyDescent="0.25">
      <c r="C134" s="16">
        <v>64</v>
      </c>
    </row>
    <row r="135" spans="3:3" x14ac:dyDescent="0.25">
      <c r="C135" s="16">
        <v>52</v>
      </c>
    </row>
    <row r="136" spans="3:3" x14ac:dyDescent="0.25">
      <c r="C136" s="16">
        <v>78</v>
      </c>
    </row>
    <row r="137" spans="3:3" x14ac:dyDescent="0.25">
      <c r="C137" s="16">
        <v>68</v>
      </c>
    </row>
    <row r="138" spans="3:3" x14ac:dyDescent="0.25">
      <c r="C138" s="16">
        <v>55</v>
      </c>
    </row>
    <row r="139" spans="3:3" x14ac:dyDescent="0.25">
      <c r="C139" s="16">
        <v>77</v>
      </c>
    </row>
    <row r="140" spans="3:3" x14ac:dyDescent="0.25">
      <c r="C140" s="16">
        <v>89</v>
      </c>
    </row>
    <row r="141" spans="3:3" x14ac:dyDescent="0.25">
      <c r="C141" s="16">
        <v>81</v>
      </c>
    </row>
    <row r="142" spans="3:3" x14ac:dyDescent="0.25">
      <c r="C142" s="16">
        <v>94</v>
      </c>
    </row>
    <row r="143" spans="3:3" x14ac:dyDescent="0.25">
      <c r="C143" s="16">
        <v>60</v>
      </c>
    </row>
    <row r="144" spans="3:3" x14ac:dyDescent="0.25">
      <c r="C144" s="16">
        <v>78</v>
      </c>
    </row>
    <row r="145" spans="3:3" x14ac:dyDescent="0.25">
      <c r="C145" s="16">
        <v>82</v>
      </c>
    </row>
    <row r="146" spans="3:3" x14ac:dyDescent="0.25">
      <c r="C146" s="16">
        <v>92</v>
      </c>
    </row>
    <row r="147" spans="3:3" x14ac:dyDescent="0.25">
      <c r="C147" s="16">
        <v>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9"/>
  <sheetViews>
    <sheetView workbookViewId="0">
      <selection activeCell="D20" sqref="D20"/>
    </sheetView>
  </sheetViews>
  <sheetFormatPr defaultRowHeight="15" x14ac:dyDescent="0.25"/>
  <cols>
    <col min="1" max="1" width="66.28515625" customWidth="1"/>
    <col min="5" max="5" width="10" customWidth="1"/>
    <col min="6" max="6" width="28" customWidth="1"/>
    <col min="7" max="7" width="19.85546875" bestFit="1" customWidth="1"/>
    <col min="18" max="19" width="9.140625" style="1"/>
    <col min="20" max="20" width="36.5703125" bestFit="1" customWidth="1"/>
  </cols>
  <sheetData>
    <row r="1" spans="1:19" ht="18" thickBot="1" x14ac:dyDescent="0.3">
      <c r="A1" t="s">
        <v>2</v>
      </c>
      <c r="C1" s="15" t="s">
        <v>0</v>
      </c>
      <c r="F1" s="5" t="s">
        <v>71</v>
      </c>
      <c r="G1" s="13"/>
      <c r="H1" s="13"/>
      <c r="I1" s="13"/>
      <c r="J1" s="13"/>
      <c r="K1" s="13"/>
      <c r="L1" s="13"/>
      <c r="R1" s="6" t="s">
        <v>73</v>
      </c>
      <c r="S1" s="6" t="s">
        <v>72</v>
      </c>
    </row>
    <row r="2" spans="1:19" ht="15.75" thickTop="1" x14ac:dyDescent="0.25">
      <c r="C2" s="16">
        <v>89</v>
      </c>
      <c r="R2" s="1">
        <v>0</v>
      </c>
      <c r="S2" s="1">
        <f>_xlfn.CHISQ.DIST(R2,$G$4,0)</f>
        <v>0</v>
      </c>
    </row>
    <row r="3" spans="1:19" x14ac:dyDescent="0.25">
      <c r="C3" s="16">
        <v>67</v>
      </c>
      <c r="F3" t="s">
        <v>74</v>
      </c>
      <c r="G3" s="1">
        <f>COUNT(C2:C14)</f>
        <v>13</v>
      </c>
      <c r="J3" s="7">
        <f>G7</f>
        <v>5.2260294883926397</v>
      </c>
      <c r="K3">
        <v>0</v>
      </c>
      <c r="L3" s="7">
        <f>G8</f>
        <v>21.026069817483062</v>
      </c>
      <c r="M3">
        <v>0</v>
      </c>
      <c r="R3" s="1">
        <f>R2+ROUND(3*$G$4/15,0)</f>
        <v>2</v>
      </c>
      <c r="S3" s="1">
        <f t="shared" ref="S3:S17" si="0">_xlfn.CHISQ.DIST(R3,$G$4,0)</f>
        <v>1.5328310048810093E-3</v>
      </c>
    </row>
    <row r="4" spans="1:19" x14ac:dyDescent="0.25">
      <c r="C4" s="16">
        <v>61</v>
      </c>
      <c r="F4" s="2" t="s">
        <v>75</v>
      </c>
      <c r="G4" s="6">
        <f>G3-1</f>
        <v>12</v>
      </c>
      <c r="J4" s="7">
        <f>G7</f>
        <v>5.2260294883926397</v>
      </c>
      <c r="K4">
        <f>_xlfn.CHISQ.DIST(J4,$G$4,0)</f>
        <v>3.7211756906266602E-2</v>
      </c>
      <c r="L4" s="7">
        <f>G8</f>
        <v>21.026069817483062</v>
      </c>
      <c r="M4">
        <f>_xlfn.CHISQ.DIST(L4,$G$4,0)</f>
        <v>1.4543744683178872E-2</v>
      </c>
      <c r="R4" s="1">
        <f t="shared" ref="R4:R17" si="1">R3+ROUND(3*$G$4/15,0)</f>
        <v>4</v>
      </c>
      <c r="S4" s="1">
        <f t="shared" si="0"/>
        <v>1.8044704431548358E-2</v>
      </c>
    </row>
    <row r="5" spans="1:19" x14ac:dyDescent="0.25">
      <c r="C5" s="16">
        <v>83</v>
      </c>
      <c r="G5" s="1"/>
      <c r="R5" s="1">
        <f t="shared" si="1"/>
        <v>6</v>
      </c>
      <c r="S5" s="1">
        <f t="shared" si="0"/>
        <v>5.0409406722462261E-2</v>
      </c>
    </row>
    <row r="6" spans="1:19" x14ac:dyDescent="0.25">
      <c r="C6" s="16">
        <v>96</v>
      </c>
      <c r="F6" t="s">
        <v>76</v>
      </c>
      <c r="G6" s="1">
        <v>0.9</v>
      </c>
      <c r="H6" t="s">
        <v>2</v>
      </c>
      <c r="I6" t="s">
        <v>2</v>
      </c>
      <c r="R6" s="1">
        <f t="shared" si="1"/>
        <v>8</v>
      </c>
      <c r="S6" s="1">
        <f t="shared" si="0"/>
        <v>7.8146725925265864E-2</v>
      </c>
    </row>
    <row r="7" spans="1:19" ht="18.75" x14ac:dyDescent="0.35">
      <c r="C7" s="16">
        <v>48</v>
      </c>
      <c r="F7" t="s">
        <v>77</v>
      </c>
      <c r="G7" s="9">
        <f>_xlfn.CHISQ.INV((1-G6)/2,G4)</f>
        <v>5.2260294883926397</v>
      </c>
      <c r="R7" s="1">
        <f t="shared" si="1"/>
        <v>10</v>
      </c>
      <c r="S7" s="1">
        <f t="shared" si="0"/>
        <v>8.7733684883925356E-2</v>
      </c>
    </row>
    <row r="8" spans="1:19" ht="18.75" x14ac:dyDescent="0.35">
      <c r="C8" s="16">
        <v>57</v>
      </c>
      <c r="F8" t="s">
        <v>78</v>
      </c>
      <c r="G8" s="9">
        <f>_xlfn.CHISQ.INV((1+G6)/2,G4)</f>
        <v>21.026069817483062</v>
      </c>
      <c r="R8" s="1">
        <f t="shared" si="1"/>
        <v>12</v>
      </c>
      <c r="S8" s="1">
        <f t="shared" si="0"/>
        <v>8.0311570523990017E-2</v>
      </c>
    </row>
    <row r="9" spans="1:19" x14ac:dyDescent="0.25">
      <c r="C9" s="16">
        <v>92</v>
      </c>
      <c r="G9" s="1"/>
      <c r="R9" s="1">
        <f t="shared" si="1"/>
        <v>14</v>
      </c>
      <c r="S9" s="1">
        <f t="shared" si="0"/>
        <v>6.3858334146144807E-2</v>
      </c>
    </row>
    <row r="10" spans="1:19" x14ac:dyDescent="0.25">
      <c r="C10" s="16">
        <v>56</v>
      </c>
      <c r="F10" t="s">
        <v>79</v>
      </c>
      <c r="G10" s="10">
        <f>_xlfn.VAR.S(C2:C14)</f>
        <v>413.23076923076951</v>
      </c>
      <c r="R10" s="1">
        <f t="shared" si="1"/>
        <v>16</v>
      </c>
      <c r="S10" s="1">
        <f t="shared" si="0"/>
        <v>4.5801830796289619E-2</v>
      </c>
    </row>
    <row r="11" spans="1:19" x14ac:dyDescent="0.25">
      <c r="C11" s="16">
        <v>93</v>
      </c>
      <c r="F11" t="s">
        <v>83</v>
      </c>
      <c r="G11" s="10">
        <f>SQRT(G10)</f>
        <v>20.32807834574556</v>
      </c>
      <c r="R11" s="1">
        <f t="shared" si="1"/>
        <v>18</v>
      </c>
      <c r="S11" s="1">
        <f t="shared" si="0"/>
        <v>3.036343967297641E-2</v>
      </c>
    </row>
    <row r="12" spans="1:19" ht="21" x14ac:dyDescent="0.35">
      <c r="A12" s="3" t="s">
        <v>68</v>
      </c>
      <c r="C12" s="16">
        <v>97</v>
      </c>
      <c r="F12" s="17" t="s">
        <v>80</v>
      </c>
      <c r="G12" s="10">
        <f>G4*G10/G8</f>
        <v>235.83909279355882</v>
      </c>
      <c r="R12" s="1">
        <f t="shared" si="1"/>
        <v>20</v>
      </c>
      <c r="S12" s="1">
        <f t="shared" si="0"/>
        <v>1.8916637401035358E-2</v>
      </c>
    </row>
    <row r="13" spans="1:19" ht="24" x14ac:dyDescent="0.4">
      <c r="A13" s="4" t="s">
        <v>69</v>
      </c>
      <c r="C13" s="16">
        <v>48</v>
      </c>
      <c r="F13" s="17" t="s">
        <v>81</v>
      </c>
      <c r="G13" s="10">
        <f>G4*G10/G7</f>
        <v>948.85978768068412</v>
      </c>
      <c r="R13" s="1">
        <f t="shared" si="1"/>
        <v>22</v>
      </c>
      <c r="S13" s="1">
        <f t="shared" si="0"/>
        <v>1.1207606724874392E-2</v>
      </c>
    </row>
    <row r="14" spans="1:19" ht="21" x14ac:dyDescent="0.35">
      <c r="A14" s="4" t="s">
        <v>70</v>
      </c>
      <c r="C14" s="16">
        <v>45</v>
      </c>
      <c r="F14" s="21" t="s">
        <v>82</v>
      </c>
      <c r="G14" s="22">
        <f>SQRT(G12)</f>
        <v>15.357053519264651</v>
      </c>
      <c r="R14" s="1">
        <f t="shared" si="1"/>
        <v>24</v>
      </c>
      <c r="S14" s="1">
        <f t="shared" si="0"/>
        <v>6.3703193679306861E-3</v>
      </c>
    </row>
    <row r="15" spans="1:19" x14ac:dyDescent="0.25">
      <c r="F15" s="21" t="s">
        <v>82</v>
      </c>
      <c r="G15" s="22">
        <f>SQRT(G13)</f>
        <v>30.803567775189357</v>
      </c>
      <c r="R15" s="1">
        <f t="shared" si="1"/>
        <v>26</v>
      </c>
      <c r="S15" s="1">
        <f t="shared" si="0"/>
        <v>3.4968520271092345E-3</v>
      </c>
    </row>
    <row r="16" spans="1:19" x14ac:dyDescent="0.25">
      <c r="G16" s="1"/>
      <c r="R16" s="1">
        <f t="shared" si="1"/>
        <v>28</v>
      </c>
      <c r="S16" s="1">
        <f t="shared" si="0"/>
        <v>1.8634004242631572E-3</v>
      </c>
    </row>
    <row r="17" spans="6:20" x14ac:dyDescent="0.25">
      <c r="F17" s="5" t="s">
        <v>84</v>
      </c>
      <c r="G17" s="5"/>
      <c r="H17" s="14"/>
      <c r="I17" s="5"/>
      <c r="R17" s="1">
        <f t="shared" si="1"/>
        <v>30</v>
      </c>
      <c r="S17" s="1">
        <f t="shared" si="0"/>
        <v>9.6789406096280768E-4</v>
      </c>
    </row>
    <row r="18" spans="6:20" x14ac:dyDescent="0.25">
      <c r="F18" s="6" t="s">
        <v>23</v>
      </c>
      <c r="G18" s="6">
        <v>0.1</v>
      </c>
    </row>
    <row r="19" spans="6:20" x14ac:dyDescent="0.25">
      <c r="F19" s="6" t="s">
        <v>85</v>
      </c>
      <c r="G19" s="9" t="s">
        <v>2</v>
      </c>
    </row>
    <row r="20" spans="6:20" x14ac:dyDescent="0.25">
      <c r="F20" s="6" t="s">
        <v>86</v>
      </c>
      <c r="G20" s="9" t="s">
        <v>2</v>
      </c>
    </row>
    <row r="21" spans="6:20" ht="17.25" x14ac:dyDescent="0.25">
      <c r="F21" s="6" t="s">
        <v>87</v>
      </c>
      <c r="G21" s="9">
        <f>_xlfn.CHISQ.INV(1-G18,G4)</f>
        <v>18.549347786703244</v>
      </c>
      <c r="K21" s="7">
        <f>G21</f>
        <v>18.549347786703244</v>
      </c>
      <c r="L21">
        <v>0</v>
      </c>
      <c r="M21" s="7">
        <f>G25</f>
        <v>22.038974358974375</v>
      </c>
      <c r="N21">
        <v>0</v>
      </c>
      <c r="T21" s="43" t="s">
        <v>2</v>
      </c>
    </row>
    <row r="22" spans="6:20" x14ac:dyDescent="0.25">
      <c r="F22" s="6" t="s">
        <v>88</v>
      </c>
      <c r="G22" s="6">
        <f>15^2</f>
        <v>225</v>
      </c>
      <c r="K22" s="7">
        <f>G21</f>
        <v>18.549347786703244</v>
      </c>
      <c r="L22">
        <f>_xlfn.CHISQ.DIST(K22,$G$4,0)</f>
        <v>2.6812808512966607E-2</v>
      </c>
      <c r="M22" s="7">
        <f>G25</f>
        <v>22.038974358974375</v>
      </c>
      <c r="N22">
        <f>_xlfn.CHISQ.DIST(M22,$G$4,0)</f>
        <v>1.10890209161804E-2</v>
      </c>
    </row>
    <row r="23" spans="6:20" x14ac:dyDescent="0.25">
      <c r="F23" s="6" t="s">
        <v>89</v>
      </c>
      <c r="G23" s="10">
        <f>G10</f>
        <v>413.23076923076951</v>
      </c>
      <c r="T23" s="44" t="s">
        <v>2</v>
      </c>
    </row>
    <row r="24" spans="6:20" x14ac:dyDescent="0.25">
      <c r="G24" s="1"/>
    </row>
    <row r="25" spans="6:20" ht="17.25" x14ac:dyDescent="0.25">
      <c r="F25" s="6" t="s">
        <v>90</v>
      </c>
      <c r="G25" s="9">
        <f>G4*G23/G22</f>
        <v>22.038974358974375</v>
      </c>
    </row>
    <row r="26" spans="6:20" x14ac:dyDescent="0.25">
      <c r="F26" s="6" t="s">
        <v>91</v>
      </c>
      <c r="G26" s="12">
        <f>1-_xlfn.CHISQ.DIST(G25,G4,1)</f>
        <v>3.7085319246870752E-2</v>
      </c>
    </row>
    <row r="27" spans="6:20" x14ac:dyDescent="0.25">
      <c r="G27" s="1"/>
    </row>
    <row r="28" spans="6:20" x14ac:dyDescent="0.25">
      <c r="F28" s="6" t="s">
        <v>142</v>
      </c>
    </row>
    <row r="29" spans="6:20" x14ac:dyDescent="0.25">
      <c r="F29" s="6" t="s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Quantities</vt:lpstr>
      <vt:lpstr>large sample</vt:lpstr>
      <vt:lpstr>small sample</vt:lpstr>
      <vt:lpstr>proportion</vt:lpstr>
      <vt:lpstr>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2017-06-12T15:45:28Z</dcterms:created>
  <dcterms:modified xsi:type="dcterms:W3CDTF">2018-02-12T17:23:46Z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c549c41a-9fe7-4410-8903-a46088223ce4</vt:lpwstr>
  </property>
  <property fmtid="{D5CDD505-2E9C-101B-9397-08002B2CF9AE}" pid="3" name="_MarkAsFinal">
    <vt:bool>true</vt:bool>
  </property>
</Properties>
</file>