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pnc-my.sharepoint.com/personal/dana_shelton_pnc_com/Documents/Desktop/Data Science Course/Excel/"/>
    </mc:Choice>
  </mc:AlternateContent>
  <xr:revisionPtr revIDLastSave="0" documentId="8_{6E216CAC-3C5F-40EE-81E1-974FE757BD59}" xr6:coauthVersionLast="47" xr6:coauthVersionMax="47" xr10:uidLastSave="{00000000-0000-0000-0000-000000000000}"/>
  <bookViews>
    <workbookView xWindow="-17880" yWindow="510" windowWidth="17250" windowHeight="9015" tabRatio="681" activeTab="3"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Slicer_Region">#N/A</definedName>
  </definedNames>
  <calcPr calcId="191029"/>
  <pivotCaches>
    <pivotCache cacheId="158" r:id="rId16"/>
    <pivotCache cacheId="159"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9" l="1"/>
  <c r="B2" i="19"/>
  <c r="G2" i="18"/>
  <c r="G3" i="18"/>
  <c r="G4" i="18"/>
  <c r="G5" i="18"/>
  <c r="G6" i="18"/>
  <c r="F6" i="18"/>
  <c r="G3" i="15"/>
  <c r="H3" i="15" s="1"/>
  <c r="J3" i="15" s="1"/>
  <c r="G4" i="15"/>
  <c r="G2" i="15"/>
  <c r="H2" i="15" s="1"/>
  <c r="J2" i="15" s="1"/>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4" i="15" l="1"/>
  <c r="J4"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<sst xmlns="http://schemas.openxmlformats.org/spreadsheetml/2006/main" count="22438" uniqueCount="130">
  <si>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</si>
  <si>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</si>
  <si>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</si>
  <si>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</si>
  <si>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</si>
  <si>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</si>
  <si>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</si>
  <si>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</si>
  <si>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</si>
  <si>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</si>
  <si>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</si>
  <si>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</si>
  <si>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</si>
  <si>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</si>
  <si>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</si>
  <si>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</si>
  <si>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</si>
  <si>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</si>
  <si>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</si>
  <si>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</si>
  <si>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</si>
  <si>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</si>
  <si>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</si>
  <si>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</si>
  <si>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</si>
  <si>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</si>
  <si>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</si>
  <si>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</si>
  <si>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</si>
  <si>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</si>
  <si>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</si>
  <si>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</si>
  <si>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</si>
  <si>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</si>
  <si>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</si>
  <si>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</si>
  <si>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</si>
  <si>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</si>
  <si>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</si>
  <si>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</si>
  <si>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</si>
  <si>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</si>
  <si>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</si>
  <si>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</si>
  <si>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</si>
  <si>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</si>
  <si>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</si>
  <si>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</si>
  <si>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</si>
  <si>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</si>
  <si>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</si>
  <si>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</si>
  <si>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</si>
  <si>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</si>
  <si>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</si>
  <si>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</si>
  <si>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</si>
  <si>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</si>
  <si>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</si>
  <si>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</si>
  <si>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</si>
  <si>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</si>
  <si>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</si>
  <si>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</si>
  <si>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</si>
  <si>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</si>
  <si>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</si>
  <si>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</si>
  <si>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</si>
  <si>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</si>
  <si>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</si>
  <si>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</si>
  <si>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</si>
  <si>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</si>
  <si>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</si>
  <si>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</si>
  <si>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</si>
  <si>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</si>
  <si>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</si>
  <si>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</si>
  <si>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</si>
  <si>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</si>
  <si>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</si>
  <si>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</si>
  <si>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</si>
  <si>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</si>
  <si>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</si>
  <si>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</si>
  <si>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</si>
  <si>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</si>
  <si>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</si>
  <si>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</si>
  <si>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</si>
  <si>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</si>
  <si>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</si>
  <si>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</si>
  <si>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</si>
  <si>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</si>
  <si>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</si>
  <si>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</si>
  <si>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</si>
  <si>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</si>
  <si>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</si>
  <si>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</si>
  <si>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</si>
  <si>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</si>
  <si>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</si>
  <si>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</si>
  <si>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</si>
  <si>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</si>
  <si>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</si>
  <si>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</si>
  <si>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</si>
  <si>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Forecast</t>
  </si>
  <si>
    <t>Lower Confidence Bound</t>
  </si>
  <si>
    <t>Upper Confidence Bound</t>
  </si>
  <si>
    <t>Ratio</t>
  </si>
  <si>
    <t>Net Sales 2022</t>
  </si>
  <si>
    <t>Market values</t>
  </si>
  <si>
    <t>Cost</t>
  </si>
  <si>
    <t>HerbEssentials</t>
  </si>
  <si>
    <t>Herbashine</t>
  </si>
  <si>
    <t>Estimated net sales 2023</t>
  </si>
  <si>
    <t>Natural Growth</t>
  </si>
  <si>
    <t>Organic Shampoo</t>
  </si>
  <si>
    <t>50ml  Shampoo</t>
  </si>
  <si>
    <t> As you can see, your NRM initiatives generate more net sales than the natural growth. Your management is very pleased to see that you found some great NRM opportunities to generate more net sales and will also follow your recommendations on "Mix Management" and "Promotion Management" to further improve the gross margin!</t>
  </si>
  <si>
    <t>The new 50ml Starbust Ultra Soft product will produce $365,960 in Net Sales.</t>
  </si>
  <si>
    <t>The ROI for the buy 2, get 20% off promotion is 12% and is higher than Promotion #3. The ROI of Promotion #1 is negative and should not be repeated.</t>
  </si>
  <si>
    <t>Herbashine will generate a higher gross profit than HerbEssentials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</si>
</sst>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_);_([$$-409]* \(#,##0\);_([$$-409]* &quot;-&quot;??_);_(@_)"/>
    <numFmt numFmtId="174" formatCode="_([$$-409]* #,##0.00_);_([$$-409]* \(#,##0.0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xf numFmtId="9" fontId="0" fillId="0" borderId="0" xfId="3" applyNumberFormat="1" applyFont="1"/>
    <xf numFmtId="172" fontId="0" fillId="0" borderId="0" xfId="1" applyNumberFormat="1" applyFont="1"/>
    <xf numFmtId="172" fontId="0" fillId="0" borderId="0" xfId="0" applyNumberFormat="1"/>
    <xf numFmtId="174" fontId="0" fillId="0" borderId="0" xfId="1" applyNumberFormat="1" applyFont="1"/>
    <xf numFmtId="0" fontId="0" fillId="3" borderId="0" xfId="0" applyFill="1"/>
    <xf numFmtId="174" fontId="0" fillId="0" borderId="0" xfId="0" applyNumberFormat="1"/>
    <xf numFmtId="0" fontId="0" fillId="0" borderId="0" xfId="0" applyAlignment="1">
      <alignment horizontal="center" wrapText="1"/>
    </xf>
  </cellXfs>
  <cellStyles count="4">
    <cellStyle name="Comma" xfId="2" builtinId="3"/>
    <cellStyle name="Currency" xfId="1" builtinId="4"/>
    <cellStyle name="Normal" xfId="0" builtinId="0"/>
    <cellStyle name="Percent" xfId="3" builtinId="5"/>
  </cellStyles>
  <dxfs count="77">
    <dxf>
      <numFmt numFmtId="13" formatCode="0%"/>
    </dxf>
    <dxf>
      <numFmt numFmtId="13" formatCode="0%"/>
    </dxf>
    <dxf>
      <numFmt numFmtId="13" formatCode="0%"/>
    </dxf>
    <dxf>
      <numFmt numFmtId="13" formatCode="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_);_([$$-409]* \(#,##0\);_([$$-409]* &quot;-&quot;??_);_(@_)"/>
    </dxf>
    <dxf>
      <numFmt numFmtId="172" formatCode="_([$$-409]* #,##0_);_([$$-409]* \(#,##0\);_([$$-409]* &quot;-&quot;??_);_(@_)"/>
    </dxf>
    <dxf>
      <numFmt numFmtId="172" formatCode="_([$$-409]* #,##0_);_([$$-409]* \(#,##0\);_([$$-409]* &quot;-&quot;??_);_(@_)"/>
    </dxf>
    <dxf>
      <numFmt numFmtId="172" formatCode="_([$$-409]* #,##0_);_([$$-409]* \(#,##0\);_([$$-409]* &quot;-&quot;??_);_(@_)"/>
    </dxf>
    <dxf>
      <numFmt numFmtId="172"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Project.xlsx]Market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 Project.xlsx]Promotion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#,##0_);_([$$-409]* \(#,##0\);_([$$-409]*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421FA059-D54A-49D0-9879-1BC23DD4759F}">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219075</xdr:colOff>
      <xdr:row>9</xdr:row>
      <xdr:rowOff>80962</xdr:rowOff>
    </xdr:from>
    <xdr:to>
      <xdr:col>5</xdr:col>
      <xdr:colOff>809625</xdr:colOff>
      <xdr:row>24</xdr:row>
      <xdr:rowOff>157162</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190499</xdr:colOff>
      <xdr:row>3</xdr:row>
      <xdr:rowOff>4761</xdr:rowOff>
    </xdr:from>
    <xdr:to>
      <xdr:col>4</xdr:col>
      <xdr:colOff>1895474</xdr:colOff>
      <xdr:row>24</xdr:row>
      <xdr:rowOff>123824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ABC938-A25C-5C2F-6AAA-E371C3FE2D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0499" y="576261"/>
              <a:ext cx="6524625" cy="41195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5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5">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15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5">
      <pivotArea outline="0" fieldPosition="0">
        <references count="1">
          <reference field="4294967294" count="1">
            <x v="0"/>
          </reference>
        </references>
      </pivotArea>
    </format>
    <format dxfId="44">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7">
      <pivotArea outline="0" collapsedLevelsAreSubtotals="1" fieldPosition="0">
        <references count="1">
          <reference field="5" count="1" selected="0">
            <x v="4"/>
          </reference>
        </references>
      </pivotArea>
    </format>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1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1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15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4">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4"/>
    <tableColumn id="2" xr3:uid="{E62B3F1F-9A15-44B4-B1DD-CAF27CF3C747}" name="Subcategory" dataDxfId="73"/>
    <tableColumn id="3" xr3:uid="{FA4BBA42-4CD5-4FEC-99C8-F3DEA363596F}" name="Supplier" dataDxfId="72"/>
    <tableColumn id="4" xr3:uid="{363950AD-92F1-4B62-BAD5-6C6ED9D314C8}" name="Brand" dataDxfId="71"/>
    <tableColumn id="5" xr3:uid="{278D3098-9E4F-422C-8E1A-9941BBC3EF43}" name="Region" dataDxfId="70"/>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9"/>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8"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7">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5"/>
    <tableColumn id="2" xr3:uid="{025C4312-31D3-409B-B984-DBF4AEFE2FA6}" name="Product" dataDxfId="64"/>
    <tableColumn id="3" xr3:uid="{D40B8F72-DA12-4584-B326-495AA00C251F}" name="Pack Size (ml)"/>
    <tableColumn id="4" xr3:uid="{E106DA15-1281-4518-AE4A-C358C1924FEA}" name="ProductID" dataDxfId="63"/>
    <tableColumn id="5" xr3:uid="{AE844CDE-AAF3-4312-96B5-E0534EF567F3}" name="Retail Price" dataDxfId="62" totalsRowDxfId="61" dataCellStyle="Currency"/>
    <tableColumn id="6" xr3:uid="{732BB0A7-0D20-404F-B2AF-EC6A28C2A71A}" name="Net Price" dataDxfId="60" totalsRowDxfId="59" dataCellStyle="Currency"/>
    <tableColumn id="7" xr3:uid="{BB7F7A5B-FAB9-4038-AD33-08EE0D4766AD}" name="COGS" dataDxfId="58" totalsRowDxfId="57" dataCellStyle="Currency"/>
    <tableColumn id="8" xr3:uid="{CCF364DE-01EF-4200-AB41-ED9058D076B5}" name="Volume 2022" totalsRowFunction="sum" dataDxfId="56" totalsRowDxfId="55" dataCellStyle="Comma"/>
    <tableColumn id="10" xr3:uid="{08E3A2F7-3C74-49D9-91B9-79AD4050A4A7}" name="Net Sales 2022" totalsRowFunction="sum" dataDxfId="54" totalsRowDxfId="53" dataCellStyle="Currency">
      <calculatedColumnFormula>internal_sales_data[[#This Row],[Volume 2022]]*internal_sales_data[[#This Row],[Net Price]]</calculatedColumnFormula>
    </tableColumn>
    <tableColumn id="9" xr3:uid="{3C283A83-C2B7-4006-B2BA-AFEDB11C31BE}" name="Gross Profit per unit" dataDxfId="52" totalsRowDxfId="51" dataCellStyle="Currency">
      <calculatedColumnFormula>internal_sales_data[[#This Row],[Net Price]]-internal_sales_data[[#This Row],[COGS]]</calculatedColumnFormula>
    </tableColumn>
    <tableColumn id="11" xr3:uid="{7C588C62-85DC-41E9-81C4-648DF71F5B17}" name="Gross Profit per product" totalsRowFunction="sum" dataDxfId="50" totalsRowDxfId="49"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8"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3"/>
    <tableColumn id="2" xr3:uid="{6AE352D5-6C16-4164-8AC0-45FA1FF286BF}" name="Estimated Unit Market Share" dataCellStyle="Percent"/>
    <tableColumn id="3" xr3:uid="{31AA58DE-DB16-4AD7-9EE2-3FBD593D8486}" name="Estimated units sold 2024" dataDxfId="42" dataCellStyle="Comma">
      <calculatedColumnFormula>new_product_launch[[#This Row],[Estimated Unit Market Share]]*'New Category Opportunity'!$B$18</calculatedColumnFormula>
    </tableColumn>
    <tableColumn id="4" xr3:uid="{983BA861-9FD5-40BD-BAD6-5572FA3B9563}" name="Net Price" dataDxfId="41"/>
    <tableColumn id="5" xr3:uid="{8197C623-3CF8-4E81-AD27-88ADB9A58EE4}" name="Net Sales" dataDxfId="40">
      <calculatedColumnFormula>new_product_launch[[#This Row],[Net Price]]*new_product_launch[[#This Row],[Estimated units sold 2024]]</calculatedColumnFormula>
    </tableColumn>
    <tableColumn id="6" xr3:uid="{0813BA88-04DC-44D1-BBDD-F8260333BD3F}" name="COGS" dataDxfId="39"/>
    <tableColumn id="7" xr3:uid="{0BDC181A-386D-45F3-8640-F0B86C17865D}" name="Gross Profit per unit" dataDxfId="38">
      <calculatedColumnFormula>new_product_launch[[#This Row],[Net Price]]-new_product_launch[[#This Row],[COGS]]</calculatedColumnFormula>
    </tableColumn>
    <tableColumn id="8" xr3:uid="{C9FE25C5-9CBC-4262-8F58-9FAD1AFE1F38}" name="Gross Profit per product" dataDxfId="37" dataCellStyle="Comma">
      <calculatedColumnFormula>new_product_launch[[#This Row],[Gross Profit per unit]]*new_product_launch[[#This Row],[Estimated units sold 2024]]</calculatedColumnFormula>
    </tableColumn>
    <tableColumn id="9" xr3:uid="{7B898487-076D-4DC9-AC86-FE42D0850365}" name="Gross Margin" dataDxfId="36">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5"/>
    <tableColumn id="2" xr3:uid="{FAE7BF1E-D3B2-4767-B266-2B8270F3696C}" name="Product" dataDxfId="34"/>
    <tableColumn id="3" xr3:uid="{5A2D09FD-4038-4B54-B533-EFDB32DD1546}" name="Pack Size (ml)"/>
    <tableColumn id="4" xr3:uid="{B6E0B462-3954-414F-96BC-4A9A1E45F237}" name="ProductID" dataDxfId="33"/>
    <tableColumn id="5" xr3:uid="{A6C19464-69C2-4CF6-86FD-2DFC3C8BE682}" name="Retail Price" dataDxfId="32" totalsRowDxfId="31" dataCellStyle="Currency"/>
    <tableColumn id="6" xr3:uid="{F8166C40-CCF9-4D5A-991F-14A3DDE3FC7F}" name="Net Price" dataDxfId="30" totalsRowDxfId="29" dataCellStyle="Currency"/>
    <tableColumn id="7" xr3:uid="{9860B665-293D-4A43-A98E-0AAA70D26C13}" name="COGS" dataDxfId="28" totalsRowDxfId="27" dataCellStyle="Currency"/>
    <tableColumn id="8" xr3:uid="{683E31B5-9570-4041-8F3B-F7C43CD93243}" name="Volume 2022" totalsRowFunction="sum" dataDxfId="26" totalsRowDxfId="25" dataCellStyle="Comma"/>
    <tableColumn id="10" xr3:uid="{17710796-45DE-498A-B84A-F197DA71F214}" name="Net Sales 2022" totalsRowFunction="sum" dataDxfId="24" totalsRowDxfId="23" dataCellStyle="Currency">
      <calculatedColumnFormula>internal_sales_data5[[#This Row],[Volume 2022]]*internal_sales_data5[[#This Row],[Net Price]]</calculatedColumnFormula>
    </tableColumn>
    <tableColumn id="9" xr3:uid="{5DE58021-15DC-4013-86B1-6FE9C31F7787}" name="Gross Profit per unit" dataDxfId="22" totalsRowDxfId="21" dataCellStyle="Currency">
      <calculatedColumnFormula>internal_sales_data5[[#This Row],[Net Price]]-internal_sales_data5[[#This Row],[COGS]]</calculatedColumnFormula>
    </tableColumn>
    <tableColumn id="11" xr3:uid="{6BF3B56E-CE08-4DFA-AE34-BC12278250B4}" name="Gross Profit per product" totalsRowFunction="sum" dataDxfId="20" totalsRowDxfId="19"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8"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7"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6"/>
    <tableColumn id="3" xr3:uid="{2A121CD1-C0E3-4918-8551-814ACE7E3314}" name="Brand" dataDxfId="15"/>
    <tableColumn id="4" xr3:uid="{7543C383-8A02-4E74-AF99-92F550588F68}" name="Year"/>
    <tableColumn id="5" xr3:uid="{9E3981BC-C16F-410F-81E4-31419BE928F1}" name="Month"/>
    <tableColumn id="6" xr3:uid="{C0D21506-6E1F-4EA8-BD50-1AFB904058ED}" name="Value sales" dataDxfId="14" dataCellStyle="Currency"/>
    <tableColumn id="7" xr3:uid="{2FEECA98-4730-450F-AF86-23140A025659}" name="Baseline sales " dataDxfId="13"/>
    <tableColumn id="8" xr3:uid="{9DF34B1D-A2FE-45E8-91E8-847DD06125C7}" name="Uplift" dataDxfId="12"/>
    <tableColumn id="11" xr3:uid="{A4B2B49D-215C-42E9-97A0-9B114D4F2383}" name="Cost" dataDxfId="11"/>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Market values" dataDxfId="9"/>
    <tableColumn id="3" xr3:uid="{A3753415-934C-4D1D-A65D-4F5A8F2AE664}" name="Forecast" dataDxfId="8"/>
    <tableColumn id="4" xr3:uid="{87AF29BB-3B9B-48E1-AF86-C6520DE1890C}" name="Lower Confidence Bound" dataDxfId="7"/>
    <tableColumn id="5" xr3:uid="{517108CD-F72A-4B89-A961-C1493DECB118}" name="Upper Confidence Bound" dataDxfId="6"/>
    <tableColumn id="6" xr3:uid="{56237CD3-AD63-4186-A266-A3B7AE3CF470}" name="Net Sales" dataDxfId="5"/>
    <tableColumn id="7" xr3:uid="{49BA4978-1D1E-40F2-BFD3-E9344BD49738}" name="Ratio" dataDxfId="3">
      <calculatedColumnFormula>Table7[[#This Row],[Net Sales]]/Table7[[#This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S37" sqref="S37"/>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A11" sqref="A11"/>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G32" sqref="G32"/>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showGridLines="0" tabSelected="1" zoomScale="70" zoomScaleNormal="70" workbookViewId="0">
      <selection activeCell="W37" sqref="W37"/>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C3" sqref="C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117</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E10" sqref="E10"/>
    </sheetView>
  </sheetViews>
  <sheetFormatPr defaultRowHeight="15" x14ac:dyDescent="0.25"/>
  <cols>
    <col min="1" max="1" width="39.710937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5"/>
  <sheetViews>
    <sheetView workbookViewId="0">
      <selection activeCell="C21" sqref="C21"/>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120</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121</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row r="5" spans="1:9" x14ac:dyDescent="0.25">
      <c r="A5" s="30" t="s">
        <v>129</v>
      </c>
      <c r="B5" s="30"/>
      <c r="C5" s="30"/>
    </row>
  </sheetData>
  <mergeCells count="1">
    <mergeCell ref="A5:C5"/>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E16" sqref="E16"/>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117</v>
      </c>
      <c r="J1" t="s">
        <v>94</v>
      </c>
      <c r="K1" t="s">
        <v>90</v>
      </c>
      <c r="L1" t="s">
        <v>91</v>
      </c>
      <c r="M1" t="s">
        <v>102</v>
      </c>
    </row>
    <row r="2" spans="1:13" x14ac:dyDescent="0.25">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25">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25">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25">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25">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25">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25">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25">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25">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25">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25">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14" spans="1:13" x14ac:dyDescent="0.25">
      <c r="A14" s="30" t="s">
        <v>127</v>
      </c>
      <c r="B14" s="30"/>
      <c r="C14" s="30"/>
      <c r="D14" s="30"/>
    </row>
    <row r="15" spans="1:13" x14ac:dyDescent="0.25">
      <c r="A15" s="30"/>
      <c r="B15" s="30"/>
      <c r="C15" s="30"/>
      <c r="D15" s="30"/>
    </row>
    <row r="22" spans="9:9" x14ac:dyDescent="0.25">
      <c r="I22" s="22"/>
    </row>
  </sheetData>
  <mergeCells count="1">
    <mergeCell ref="A14:D15"/>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9"/>
  <sheetViews>
    <sheetView workbookViewId="0">
      <selection activeCell="G12" sqref="G12"/>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9" width="12.5703125" bestFit="1" customWidth="1"/>
    <col min="10" max="10" width="6.42578125" bestFit="1" customWidth="1"/>
  </cols>
  <sheetData>
    <row r="1" spans="1:10" x14ac:dyDescent="0.25">
      <c r="A1" t="s">
        <v>103</v>
      </c>
      <c r="B1" t="s">
        <v>104</v>
      </c>
      <c r="C1" t="s">
        <v>2</v>
      </c>
      <c r="D1" t="s">
        <v>4</v>
      </c>
      <c r="E1" t="s">
        <v>5</v>
      </c>
      <c r="F1" t="s">
        <v>105</v>
      </c>
      <c r="G1" t="s">
        <v>106</v>
      </c>
      <c r="H1" t="s">
        <v>107</v>
      </c>
      <c r="I1" t="s">
        <v>119</v>
      </c>
      <c r="J1" t="s">
        <v>108</v>
      </c>
    </row>
    <row r="2" spans="1:10" x14ac:dyDescent="0.25">
      <c r="A2">
        <v>1</v>
      </c>
      <c r="B2" s="8" t="s">
        <v>109</v>
      </c>
      <c r="C2" s="8" t="s">
        <v>22</v>
      </c>
      <c r="D2">
        <v>2022</v>
      </c>
      <c r="E2">
        <v>4</v>
      </c>
      <c r="F2" s="25">
        <f>VLOOKUP(promotion_analysis[[#This Row],[Month]],'Promotion Graph'!$A$5:$B$16,2,FALSE)</f>
        <v>1445626</v>
      </c>
      <c r="G2" s="26">
        <f>AVERAGE('Promotion Graph'!$B$5:$B$7,'Promotion Graph'!$B$9:$B$11,'Promotion Graph'!$B$13:$B$14,'Promotion Graph'!$B$16)</f>
        <v>840835.5555555555</v>
      </c>
      <c r="H2" s="26">
        <f>promotion_analysis[[#This Row],[Value sales]]-promotion_analysis[[#This Row],[Baseline sales ]]</f>
        <v>604790.4444444445</v>
      </c>
      <c r="I2" s="26">
        <v>620000</v>
      </c>
      <c r="J2" s="17">
        <f>(promotion_analysis[[#This Row],[Uplift]]-promotion_analysis[[#This Row],[Cost]])/promotion_analysis[[#This Row],[Cost]]</f>
        <v>-2.453154121863791E-2</v>
      </c>
    </row>
    <row r="3" spans="1:10" x14ac:dyDescent="0.25">
      <c r="A3">
        <v>2</v>
      </c>
      <c r="B3" s="8" t="s">
        <v>110</v>
      </c>
      <c r="C3" s="8" t="s">
        <v>22</v>
      </c>
      <c r="D3">
        <v>2022</v>
      </c>
      <c r="E3">
        <v>8</v>
      </c>
      <c r="F3" s="25">
        <f>VLOOKUP(promotion_analysis[[#This Row],[Month]],'Promotion Graph'!$A$5:$B$16,2,FALSE)</f>
        <v>1198708</v>
      </c>
      <c r="G3" s="26">
        <f>AVERAGE('Promotion Graph'!$B$5:$B$7,'Promotion Graph'!$B$9:$B$11,'Promotion Graph'!$B$13:$B$14,'Promotion Graph'!$B$16)</f>
        <v>840835.5555555555</v>
      </c>
      <c r="H3" s="26">
        <f>promotion_analysis[[#This Row],[Value sales]]-promotion_analysis[[#This Row],[Baseline sales ]]</f>
        <v>357872.4444444445</v>
      </c>
      <c r="I3" s="26">
        <v>320000</v>
      </c>
      <c r="J3" s="17">
        <f>(promotion_analysis[[#This Row],[Uplift]]-promotion_analysis[[#This Row],[Cost]])/promotion_analysis[[#This Row],[Cost]]</f>
        <v>0.11835138888888905</v>
      </c>
    </row>
    <row r="4" spans="1:10" x14ac:dyDescent="0.25">
      <c r="A4">
        <v>3</v>
      </c>
      <c r="B4" s="8" t="s">
        <v>111</v>
      </c>
      <c r="C4" s="8" t="s">
        <v>22</v>
      </c>
      <c r="D4">
        <v>2022</v>
      </c>
      <c r="E4">
        <v>11</v>
      </c>
      <c r="F4" s="25">
        <f>VLOOKUP(promotion_analysis[[#This Row],[Month]],'Promotion Graph'!$A$5:$B$16,2,FALSE)</f>
        <v>1413646</v>
      </c>
      <c r="G4" s="26">
        <f>AVERAGE('Promotion Graph'!$B$5:$B$7,'Promotion Graph'!$B$9:$B$11,'Promotion Graph'!$B$13:$B$14,'Promotion Graph'!$B$16)</f>
        <v>840835.5555555555</v>
      </c>
      <c r="H4" s="26">
        <f>promotion_analysis[[#This Row],[Value sales]]-promotion_analysis[[#This Row],[Baseline sales ]]</f>
        <v>572810.4444444445</v>
      </c>
      <c r="I4" s="26">
        <v>540000</v>
      </c>
      <c r="J4" s="17">
        <f>(promotion_analysis[[#This Row],[Uplift]]-promotion_analysis[[#This Row],[Cost]])/promotion_analysis[[#This Row],[Cost]]</f>
        <v>6.0760082304526848E-2</v>
      </c>
    </row>
    <row r="7" spans="1:10" x14ac:dyDescent="0.25">
      <c r="A7" s="30" t="s">
        <v>128</v>
      </c>
      <c r="B7" s="30"/>
      <c r="C7" s="30"/>
      <c r="D7" s="30"/>
      <c r="E7" s="30"/>
      <c r="F7" s="30"/>
    </row>
    <row r="8" spans="1:10" x14ac:dyDescent="0.25">
      <c r="A8" s="30"/>
      <c r="B8" s="30"/>
      <c r="C8" s="30"/>
      <c r="D8" s="30"/>
      <c r="E8" s="30"/>
      <c r="F8" s="30"/>
    </row>
    <row r="9" spans="1:10" x14ac:dyDescent="0.25">
      <c r="A9" s="30"/>
      <c r="B9" s="30"/>
      <c r="C9" s="30"/>
      <c r="D9" s="30"/>
      <c r="E9" s="30"/>
      <c r="F9" s="30"/>
    </row>
  </sheetData>
  <mergeCells count="1">
    <mergeCell ref="A7:F9"/>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G34" sqref="G34"/>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6">
        <v>849590</v>
      </c>
    </row>
    <row r="6" spans="1:2" x14ac:dyDescent="0.25">
      <c r="A6" s="3">
        <v>2</v>
      </c>
      <c r="B6" s="26">
        <v>822290</v>
      </c>
    </row>
    <row r="7" spans="1:2" x14ac:dyDescent="0.25">
      <c r="A7" s="3">
        <v>3</v>
      </c>
      <c r="B7" s="26">
        <v>827649</v>
      </c>
    </row>
    <row r="8" spans="1:2" x14ac:dyDescent="0.25">
      <c r="A8" s="3">
        <v>4</v>
      </c>
      <c r="B8" s="26">
        <v>1445626</v>
      </c>
    </row>
    <row r="9" spans="1:2" x14ac:dyDescent="0.25">
      <c r="A9" s="3">
        <v>5</v>
      </c>
      <c r="B9" s="26">
        <v>874089</v>
      </c>
    </row>
    <row r="10" spans="1:2" x14ac:dyDescent="0.25">
      <c r="A10" s="3">
        <v>6</v>
      </c>
      <c r="B10" s="26">
        <v>876087</v>
      </c>
    </row>
    <row r="11" spans="1:2" x14ac:dyDescent="0.25">
      <c r="A11" s="3">
        <v>7</v>
      </c>
      <c r="B11" s="26">
        <v>842454</v>
      </c>
    </row>
    <row r="12" spans="1:2" x14ac:dyDescent="0.25">
      <c r="A12" s="3">
        <v>8</v>
      </c>
      <c r="B12" s="26">
        <v>1198708</v>
      </c>
    </row>
    <row r="13" spans="1:2" x14ac:dyDescent="0.25">
      <c r="A13" s="3">
        <v>9</v>
      </c>
      <c r="B13" s="26">
        <v>853650</v>
      </c>
    </row>
    <row r="14" spans="1:2" x14ac:dyDescent="0.25">
      <c r="A14" s="3">
        <v>10</v>
      </c>
      <c r="B14" s="26">
        <v>816480</v>
      </c>
    </row>
    <row r="15" spans="1:2" x14ac:dyDescent="0.25">
      <c r="A15" s="3">
        <v>11</v>
      </c>
      <c r="B15" s="26">
        <v>1413646</v>
      </c>
    </row>
    <row r="16" spans="1:2" x14ac:dyDescent="0.25">
      <c r="A16" s="3">
        <v>12</v>
      </c>
      <c r="B16" s="26">
        <v>805231</v>
      </c>
    </row>
    <row r="17" spans="1:2" x14ac:dyDescent="0.25">
      <c r="A17" s="3" t="s">
        <v>59</v>
      </c>
      <c r="B17" s="26">
        <v>11625500</v>
      </c>
    </row>
    <row r="20" spans="1:2" x14ac:dyDescent="0.25">
      <c r="B20" s="13"/>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I18" sqref="I18"/>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118</v>
      </c>
      <c r="C1" t="s">
        <v>113</v>
      </c>
      <c r="D1" t="s">
        <v>114</v>
      </c>
      <c r="E1" t="s">
        <v>115</v>
      </c>
      <c r="F1" t="s">
        <v>101</v>
      </c>
      <c r="G1" t="s">
        <v>116</v>
      </c>
    </row>
    <row r="2" spans="1:7" x14ac:dyDescent="0.25">
      <c r="A2">
        <v>2018</v>
      </c>
      <c r="B2" s="1">
        <v>30685269</v>
      </c>
      <c r="F2" s="1"/>
      <c r="G2" s="1">
        <f>Table7[[#This Row],[Net Sales]]/Table7[[#This Row],[Market values]]</f>
        <v>0</v>
      </c>
    </row>
    <row r="3" spans="1:7" x14ac:dyDescent="0.25">
      <c r="A3">
        <v>2019</v>
      </c>
      <c r="B3" s="1">
        <v>29261549</v>
      </c>
      <c r="F3" s="1"/>
      <c r="G3" s="1">
        <f>Table7[[#This Row],[Net Sales]]/Table7[[#This Row],[Market values]]</f>
        <v>0</v>
      </c>
    </row>
    <row r="4" spans="1:7" x14ac:dyDescent="0.25">
      <c r="A4">
        <v>2020</v>
      </c>
      <c r="B4" s="1">
        <v>30370933</v>
      </c>
      <c r="F4" s="1"/>
      <c r="G4" s="1">
        <f>Table7[[#This Row],[Net Sales]]/Table7[[#This Row],[Market values]]</f>
        <v>0</v>
      </c>
    </row>
    <row r="5" spans="1:7" x14ac:dyDescent="0.25">
      <c r="A5">
        <v>2021</v>
      </c>
      <c r="B5" s="1">
        <v>30710796</v>
      </c>
      <c r="F5" s="1"/>
      <c r="G5" s="1">
        <f>Table7[[#This Row],[Net Sales]]/Table7[[#This Row],[Market values]]</f>
        <v>0</v>
      </c>
    </row>
    <row r="6" spans="1:7" x14ac:dyDescent="0.25">
      <c r="A6">
        <v>2022</v>
      </c>
      <c r="B6" s="1">
        <v>31442892</v>
      </c>
      <c r="C6" s="1">
        <v>31442892</v>
      </c>
      <c r="D6" s="1">
        <v>31442892</v>
      </c>
      <c r="E6" s="1">
        <v>31442892</v>
      </c>
      <c r="F6" s="1">
        <f>internal_sales_data[[#Totals],[Net Sales 2022]]</f>
        <v>20480714.900000002</v>
      </c>
      <c r="G6" s="24">
        <f>Table7[[#This Row],[Net Sales]]/Table7[[#This Row],[Market 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P33" sqref="P33"/>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E16A-6F92-42E2-85E7-ABB3FDE15134}">
  <dimension ref="A1:I30"/>
  <sheetViews>
    <sheetView workbookViewId="0">
      <selection activeCell="G24" sqref="G24"/>
    </sheetView>
  </sheetViews>
  <sheetFormatPr defaultRowHeight="15" x14ac:dyDescent="0.25"/>
  <cols>
    <col min="1" max="1" width="23" bestFit="1" customWidth="1"/>
    <col min="2" max="2" width="14.7109375" bestFit="1" customWidth="1"/>
    <col min="3" max="3" width="16.5703125" bestFit="1" customWidth="1"/>
    <col min="4" max="4" width="18" customWidth="1"/>
    <col min="5" max="5" width="28.85546875" customWidth="1"/>
  </cols>
  <sheetData>
    <row r="1" spans="1:5" x14ac:dyDescent="0.25">
      <c r="A1" s="28" t="s">
        <v>122</v>
      </c>
      <c r="B1" s="28" t="s">
        <v>123</v>
      </c>
      <c r="C1" s="28" t="s">
        <v>124</v>
      </c>
      <c r="D1" s="28" t="s">
        <v>125</v>
      </c>
      <c r="E1" s="28" t="s">
        <v>89</v>
      </c>
    </row>
    <row r="2" spans="1:5" x14ac:dyDescent="0.25">
      <c r="A2" s="27">
        <v>20606057.899500884</v>
      </c>
      <c r="B2" s="27">
        <f>'Forecast 2024'!F8-'Forecast 2024'!F7</f>
        <v>202654.24053605273</v>
      </c>
      <c r="C2" s="29">
        <v>336896.60399999993</v>
      </c>
      <c r="D2" s="27">
        <v>265960.03999999998</v>
      </c>
      <c r="E2" s="29">
        <f>SUM(A2:D2)</f>
        <v>21411568.784036934</v>
      </c>
    </row>
    <row r="27" spans="1:9" x14ac:dyDescent="0.25">
      <c r="A27" s="30" t="s">
        <v>126</v>
      </c>
      <c r="B27" s="30"/>
      <c r="C27" s="30"/>
      <c r="D27" s="30"/>
      <c r="E27" s="30"/>
      <c r="F27" s="30"/>
      <c r="G27" s="30"/>
      <c r="H27" s="30"/>
      <c r="I27" s="30"/>
    </row>
    <row r="28" spans="1:9" x14ac:dyDescent="0.25">
      <c r="A28" s="30"/>
      <c r="B28" s="30"/>
      <c r="C28" s="30"/>
      <c r="D28" s="30"/>
      <c r="E28" s="30"/>
      <c r="F28" s="30"/>
      <c r="G28" s="30"/>
      <c r="H28" s="30"/>
      <c r="I28" s="30"/>
    </row>
    <row r="29" spans="1:9" x14ac:dyDescent="0.25">
      <c r="A29" s="30"/>
      <c r="B29" s="30"/>
      <c r="C29" s="30"/>
      <c r="D29" s="30"/>
      <c r="E29" s="30"/>
      <c r="F29" s="30"/>
      <c r="G29" s="30"/>
      <c r="H29" s="30"/>
      <c r="I29" s="30"/>
    </row>
    <row r="30" spans="1:9" x14ac:dyDescent="0.25">
      <c r="A30" s="30"/>
      <c r="B30" s="30"/>
      <c r="C30" s="30"/>
      <c r="D30" s="30"/>
      <c r="E30" s="30"/>
      <c r="F30" s="30"/>
      <c r="G30" s="30"/>
      <c r="H30" s="30"/>
      <c r="I30" s="30"/>
    </row>
  </sheetData>
  <mergeCells count="1">
    <mergeCell ref="A27:I3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Shelton, Dana</cp:lastModifiedBy>
  <dcterms:created xsi:type="dcterms:W3CDTF">2022-06-08T14:08:07Z</dcterms:created>
  <dcterms:modified xsi:type="dcterms:W3CDTF">2025-06-04T00:38:56Z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a8ce42-0a38-4038-af78-0463c9adb574_Enabled">
    <vt:lpwstr>true</vt:lpwstr>
  </property>
  <property fmtid="{D5CDD505-2E9C-101B-9397-08002B2CF9AE}" pid="3" name="MSIP_Label_cea8ce42-0a38-4038-af78-0463c9adb574_SetDate">
    <vt:lpwstr>2025-06-03T22:58:54Z</vt:lpwstr>
  </property>
  <property fmtid="{D5CDD505-2E9C-101B-9397-08002B2CF9AE}" pid="4" name="MSIP_Label_cea8ce42-0a38-4038-af78-0463c9adb574_Method">
    <vt:lpwstr>Standard</vt:lpwstr>
  </property>
  <property fmtid="{D5CDD505-2E9C-101B-9397-08002B2CF9AE}" pid="5" name="MSIP_Label_cea8ce42-0a38-4038-af78-0463c9adb574_Name">
    <vt:lpwstr>cea8ce42-0a38-4038-af78-0463c9adb574</vt:lpwstr>
  </property>
  <property fmtid="{D5CDD505-2E9C-101B-9397-08002B2CF9AE}" pid="6" name="MSIP_Label_cea8ce42-0a38-4038-af78-0463c9adb574_SiteId">
    <vt:lpwstr>5d25c963-07db-4627-9db3-720b2ff89865</vt:lpwstr>
  </property>
  <property fmtid="{D5CDD505-2E9C-101B-9397-08002B2CF9AE}" pid="7" name="MSIP_Label_cea8ce42-0a38-4038-af78-0463c9adb574_ActionId">
    <vt:lpwstr>ad78d694-8cf0-4b35-8ea9-b95f3ee33dd0</vt:lpwstr>
  </property>
  <property fmtid="{D5CDD505-2E9C-101B-9397-08002B2CF9AE}" pid="8" name="MSIP_Label_cea8ce42-0a38-4038-af78-0463c9adb574_ContentBits">
    <vt:lpwstr>0</vt:lpwstr>
  </property>
</Properties>
</file>