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urkhow\Google Drive\Documents\GitHub\rule_one\Files\"/>
    </mc:Choice>
  </mc:AlternateContent>
  <xr:revisionPtr revIDLastSave="0" documentId="13_ncr:1_{569D5984-1B85-48EB-BCD2-F35DC64AC0A6}" xr6:coauthVersionLast="36" xr6:coauthVersionMax="36" xr10:uidLastSave="{00000000-0000-0000-0000-000000000000}"/>
  <bookViews>
    <workbookView xWindow="0" yWindow="0" windowWidth="28800" windowHeight="12225" activeTab="1" xr2:uid="{96624C48-881C-407F-B116-82D8DF6CE3C0}"/>
  </bookViews>
  <sheets>
    <sheet name="Sheet1" sheetId="1" r:id="rId1"/>
    <sheet name="Sheet2" sheetId="2" r:id="rId2"/>
  </sheets>
  <definedNames>
    <definedName name="_xlnm._FilterDatabase" localSheetId="1" hidden="1">Sheet2!$K$1:$O$1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A3" i="1"/>
  <c r="C1" i="1"/>
  <c r="I30" i="2"/>
  <c r="J30" i="2"/>
  <c r="B10" i="2"/>
  <c r="F10" i="2"/>
  <c r="J10" i="2"/>
  <c r="E20" i="2"/>
  <c r="I20" i="2"/>
  <c r="D32" i="2"/>
  <c r="H32" i="2"/>
  <c r="C22" i="2"/>
  <c r="G22" i="2"/>
  <c r="B30" i="2"/>
  <c r="F30" i="2"/>
  <c r="E27" i="2"/>
  <c r="I27" i="2"/>
  <c r="D36" i="2"/>
  <c r="H36" i="2"/>
  <c r="C26" i="2"/>
  <c r="G26" i="2"/>
  <c r="B35" i="2"/>
  <c r="F35" i="2"/>
  <c r="J35" i="2"/>
  <c r="E37" i="2"/>
  <c r="I37" i="2"/>
  <c r="D39" i="2"/>
  <c r="H39" i="2"/>
  <c r="C21" i="2"/>
  <c r="G21" i="2"/>
  <c r="B33" i="2"/>
  <c r="F33" i="2"/>
  <c r="J33" i="2"/>
  <c r="E15" i="2"/>
  <c r="I15" i="2"/>
  <c r="D38" i="2"/>
  <c r="H38" i="2"/>
  <c r="C3" i="2"/>
  <c r="G3" i="2"/>
  <c r="B17" i="2"/>
  <c r="F17" i="2"/>
  <c r="J17" i="2"/>
  <c r="E28" i="2"/>
  <c r="I28" i="2"/>
  <c r="D18" i="2"/>
  <c r="H18" i="2"/>
  <c r="C40" i="2"/>
  <c r="G40" i="2"/>
  <c r="B14" i="2"/>
  <c r="F14" i="2"/>
  <c r="J14" i="2"/>
  <c r="E11" i="2"/>
  <c r="I11" i="2"/>
  <c r="D12" i="2"/>
  <c r="H12" i="2"/>
  <c r="C24" i="2"/>
  <c r="G24" i="2"/>
  <c r="B23" i="2"/>
  <c r="F23" i="2"/>
  <c r="J23" i="2"/>
  <c r="E9" i="2"/>
  <c r="I9" i="2"/>
  <c r="D16" i="2"/>
  <c r="H16" i="2"/>
  <c r="C4" i="2"/>
  <c r="G4" i="2"/>
  <c r="B5" i="2"/>
  <c r="F5" i="2"/>
  <c r="J5" i="2"/>
  <c r="E29" i="2"/>
  <c r="I29" i="2"/>
  <c r="D13" i="2"/>
  <c r="H13" i="2"/>
  <c r="C2" i="2"/>
  <c r="G2" i="2"/>
  <c r="B6" i="2"/>
  <c r="F6" i="2"/>
  <c r="J6" i="2"/>
  <c r="E25" i="2"/>
  <c r="I25" i="2"/>
  <c r="D31" i="2"/>
  <c r="H31" i="2"/>
  <c r="C34" i="2"/>
  <c r="G34" i="2"/>
  <c r="B7" i="2"/>
  <c r="F7" i="2"/>
  <c r="J7" i="2"/>
  <c r="E8" i="2"/>
  <c r="I8" i="2"/>
  <c r="D19" i="2"/>
  <c r="H19" i="2"/>
  <c r="G38" i="2"/>
  <c r="D28" i="2"/>
  <c r="G18" i="2"/>
  <c r="F40" i="2"/>
  <c r="I14" i="2"/>
  <c r="C12" i="2"/>
  <c r="F24" i="2"/>
  <c r="E23" i="2"/>
  <c r="C10" i="2"/>
  <c r="G10" i="2"/>
  <c r="B20" i="2"/>
  <c r="F20" i="2"/>
  <c r="J20" i="2"/>
  <c r="E32" i="2"/>
  <c r="I32" i="2"/>
  <c r="D22" i="2"/>
  <c r="H22" i="2"/>
  <c r="C30" i="2"/>
  <c r="G30" i="2"/>
  <c r="B27" i="2"/>
  <c r="F27" i="2"/>
  <c r="J27" i="2"/>
  <c r="E36" i="2"/>
  <c r="I36" i="2"/>
  <c r="D26" i="2"/>
  <c r="H26" i="2"/>
  <c r="C35" i="2"/>
  <c r="G35" i="2"/>
  <c r="B37" i="2"/>
  <c r="F37" i="2"/>
  <c r="J37" i="2"/>
  <c r="E39" i="2"/>
  <c r="I39" i="2"/>
  <c r="D21" i="2"/>
  <c r="H21" i="2"/>
  <c r="C33" i="2"/>
  <c r="G33" i="2"/>
  <c r="B15" i="2"/>
  <c r="F15" i="2"/>
  <c r="J15" i="2"/>
  <c r="E38" i="2"/>
  <c r="I38" i="2"/>
  <c r="D3" i="2"/>
  <c r="H3" i="2"/>
  <c r="C17" i="2"/>
  <c r="G17" i="2"/>
  <c r="B28" i="2"/>
  <c r="F28" i="2"/>
  <c r="J28" i="2"/>
  <c r="E18" i="2"/>
  <c r="I18" i="2"/>
  <c r="D40" i="2"/>
  <c r="H40" i="2"/>
  <c r="C14" i="2"/>
  <c r="G14" i="2"/>
  <c r="B11" i="2"/>
  <c r="F11" i="2"/>
  <c r="J11" i="2"/>
  <c r="E12" i="2"/>
  <c r="I12" i="2"/>
  <c r="D24" i="2"/>
  <c r="H24" i="2"/>
  <c r="C23" i="2"/>
  <c r="G23" i="2"/>
  <c r="B9" i="2"/>
  <c r="F9" i="2"/>
  <c r="J9" i="2"/>
  <c r="E16" i="2"/>
  <c r="I16" i="2"/>
  <c r="D4" i="2"/>
  <c r="H4" i="2"/>
  <c r="C5" i="2"/>
  <c r="G5" i="2"/>
  <c r="B29" i="2"/>
  <c r="F29" i="2"/>
  <c r="J29" i="2"/>
  <c r="E13" i="2"/>
  <c r="I13" i="2"/>
  <c r="D2" i="2"/>
  <c r="H2" i="2"/>
  <c r="C6" i="2"/>
  <c r="G6" i="2"/>
  <c r="B25" i="2"/>
  <c r="F25" i="2"/>
  <c r="J25" i="2"/>
  <c r="E31" i="2"/>
  <c r="I31" i="2"/>
  <c r="D34" i="2"/>
  <c r="H34" i="2"/>
  <c r="C7" i="2"/>
  <c r="G7" i="2"/>
  <c r="B8" i="2"/>
  <c r="F8" i="2"/>
  <c r="J8" i="2"/>
  <c r="E19" i="2"/>
  <c r="I19" i="2"/>
  <c r="D23" i="2"/>
  <c r="B16" i="2"/>
  <c r="J16" i="2"/>
  <c r="I4" i="2"/>
  <c r="H5" i="2"/>
  <c r="G29" i="2"/>
  <c r="F13" i="2"/>
  <c r="J13" i="2"/>
  <c r="I2" i="2"/>
  <c r="H6" i="2"/>
  <c r="G25" i="2"/>
  <c r="F31" i="2"/>
  <c r="E34" i="2"/>
  <c r="D7" i="2"/>
  <c r="C8" i="2"/>
  <c r="B19" i="2"/>
  <c r="J19" i="2"/>
  <c r="E10" i="2"/>
  <c r="G32" i="2"/>
  <c r="F22" i="2"/>
  <c r="E30" i="2"/>
  <c r="H27" i="2"/>
  <c r="G36" i="2"/>
  <c r="F26" i="2"/>
  <c r="J26" i="2"/>
  <c r="I35" i="2"/>
  <c r="H37" i="2"/>
  <c r="C39" i="2"/>
  <c r="B21" i="2"/>
  <c r="J21" i="2"/>
  <c r="I33" i="2"/>
  <c r="H15" i="2"/>
  <c r="B3" i="2"/>
  <c r="J3" i="2"/>
  <c r="I17" i="2"/>
  <c r="C18" i="2"/>
  <c r="E14" i="2"/>
  <c r="H11" i="2"/>
  <c r="B24" i="2"/>
  <c r="D10" i="2"/>
  <c r="H10" i="2"/>
  <c r="C20" i="2"/>
  <c r="G20" i="2"/>
  <c r="B32" i="2"/>
  <c r="F32" i="2"/>
  <c r="J32" i="2"/>
  <c r="E22" i="2"/>
  <c r="I22" i="2"/>
  <c r="D30" i="2"/>
  <c r="H30" i="2"/>
  <c r="C27" i="2"/>
  <c r="G27" i="2"/>
  <c r="B36" i="2"/>
  <c r="F36" i="2"/>
  <c r="J36" i="2"/>
  <c r="E26" i="2"/>
  <c r="I26" i="2"/>
  <c r="D35" i="2"/>
  <c r="H35" i="2"/>
  <c r="C37" i="2"/>
  <c r="G37" i="2"/>
  <c r="B39" i="2"/>
  <c r="F39" i="2"/>
  <c r="J39" i="2"/>
  <c r="E21" i="2"/>
  <c r="I21" i="2"/>
  <c r="D33" i="2"/>
  <c r="H33" i="2"/>
  <c r="C15" i="2"/>
  <c r="G15" i="2"/>
  <c r="B38" i="2"/>
  <c r="F38" i="2"/>
  <c r="J38" i="2"/>
  <c r="E3" i="2"/>
  <c r="I3" i="2"/>
  <c r="D17" i="2"/>
  <c r="H17" i="2"/>
  <c r="C28" i="2"/>
  <c r="G28" i="2"/>
  <c r="B18" i="2"/>
  <c r="F18" i="2"/>
  <c r="J18" i="2"/>
  <c r="E40" i="2"/>
  <c r="I40" i="2"/>
  <c r="D14" i="2"/>
  <c r="H14" i="2"/>
  <c r="C11" i="2"/>
  <c r="G11" i="2"/>
  <c r="B12" i="2"/>
  <c r="F12" i="2"/>
  <c r="J12" i="2"/>
  <c r="E24" i="2"/>
  <c r="I24" i="2"/>
  <c r="H23" i="2"/>
  <c r="C9" i="2"/>
  <c r="G9" i="2"/>
  <c r="F16" i="2"/>
  <c r="E4" i="2"/>
  <c r="D5" i="2"/>
  <c r="C29" i="2"/>
  <c r="B13" i="2"/>
  <c r="E2" i="2"/>
  <c r="D6" i="2"/>
  <c r="C25" i="2"/>
  <c r="B31" i="2"/>
  <c r="J31" i="2"/>
  <c r="I34" i="2"/>
  <c r="H7" i="2"/>
  <c r="G8" i="2"/>
  <c r="F19" i="2"/>
  <c r="I10" i="2"/>
  <c r="D20" i="2"/>
  <c r="H20" i="2"/>
  <c r="C32" i="2"/>
  <c r="B22" i="2"/>
  <c r="J22" i="2"/>
  <c r="D27" i="2"/>
  <c r="C36" i="2"/>
  <c r="B26" i="2"/>
  <c r="E35" i="2"/>
  <c r="D37" i="2"/>
  <c r="G39" i="2"/>
  <c r="F21" i="2"/>
  <c r="E33" i="2"/>
  <c r="D15" i="2"/>
  <c r="C38" i="2"/>
  <c r="F3" i="2"/>
  <c r="E17" i="2"/>
  <c r="H28" i="2"/>
  <c r="B40" i="2"/>
  <c r="J40" i="2"/>
  <c r="D11" i="2"/>
  <c r="G12" i="2"/>
  <c r="J24" i="2"/>
  <c r="D9" i="2"/>
  <c r="I23" i="2"/>
  <c r="B4" i="2"/>
  <c r="I5" i="2"/>
  <c r="G13" i="2"/>
  <c r="E6" i="2"/>
  <c r="C31" i="2"/>
  <c r="J34" i="2"/>
  <c r="H8" i="2"/>
  <c r="F4" i="2"/>
  <c r="D29" i="2"/>
  <c r="I6" i="2"/>
  <c r="G31" i="2"/>
  <c r="C19" i="2"/>
  <c r="E5" i="2"/>
  <c r="J2" i="2"/>
  <c r="D8" i="2"/>
  <c r="H9" i="2"/>
  <c r="B2" i="2"/>
  <c r="E7" i="2"/>
  <c r="C13" i="2"/>
  <c r="F34" i="2"/>
  <c r="C16" i="2"/>
  <c r="J4" i="2"/>
  <c r="H29" i="2"/>
  <c r="F2" i="2"/>
  <c r="D25" i="2"/>
  <c r="B34" i="2"/>
  <c r="I7" i="2"/>
  <c r="G19" i="2"/>
  <c r="G16" i="2"/>
  <c r="H25" i="2"/>
  <c r="L2" i="2" l="1"/>
  <c r="M2" i="2" s="1"/>
  <c r="N2" i="2" s="1"/>
  <c r="O2" i="2" s="1"/>
  <c r="L34" i="2"/>
  <c r="M34" i="2" s="1"/>
  <c r="N34" i="2" s="1"/>
  <c r="O34" i="2" s="1"/>
  <c r="L24" i="2"/>
  <c r="M24" i="2" s="1"/>
  <c r="N24" i="2" s="1"/>
  <c r="O24" i="2" s="1"/>
  <c r="L40" i="2"/>
  <c r="M40" i="2" s="1"/>
  <c r="N40" i="2" s="1"/>
  <c r="O40" i="2" s="1"/>
  <c r="L22" i="2"/>
  <c r="M22" i="2" s="1"/>
  <c r="N22" i="2" s="1"/>
  <c r="O22" i="2" s="1"/>
  <c r="L31" i="2"/>
  <c r="M31" i="2" s="1"/>
  <c r="N31" i="2" s="1"/>
  <c r="O31" i="2" s="1"/>
  <c r="L12" i="2"/>
  <c r="M12" i="2" s="1"/>
  <c r="N12" i="2" s="1"/>
  <c r="O12" i="2" s="1"/>
  <c r="L39" i="2"/>
  <c r="M39" i="2" s="1"/>
  <c r="N39" i="2" s="1"/>
  <c r="O39" i="2" s="1"/>
  <c r="L36" i="2"/>
  <c r="M36" i="2" s="1"/>
  <c r="N36" i="2" s="1"/>
  <c r="O36" i="2" s="1"/>
  <c r="L3" i="2"/>
  <c r="M3" i="2" s="1"/>
  <c r="N3" i="2" s="1"/>
  <c r="O3" i="2" s="1"/>
  <c r="L21" i="2"/>
  <c r="M21" i="2" s="1"/>
  <c r="N21" i="2" s="1"/>
  <c r="O21" i="2" s="1"/>
  <c r="L19" i="2"/>
  <c r="M19" i="2" s="1"/>
  <c r="N19" i="2" s="1"/>
  <c r="O19" i="2" s="1"/>
  <c r="L13" i="2"/>
  <c r="M13" i="2" s="1"/>
  <c r="N13" i="2" s="1"/>
  <c r="O13" i="2" s="1"/>
  <c r="L16" i="2"/>
  <c r="M16" i="2" s="1"/>
  <c r="N16" i="2" s="1"/>
  <c r="O16" i="2" s="1"/>
  <c r="L8" i="2"/>
  <c r="M8" i="2" s="1"/>
  <c r="N8" i="2" s="1"/>
  <c r="O8" i="2" s="1"/>
  <c r="L25" i="2"/>
  <c r="M25" i="2" s="1"/>
  <c r="N25" i="2" s="1"/>
  <c r="O25" i="2" s="1"/>
  <c r="L29" i="2"/>
  <c r="M29" i="2" s="1"/>
  <c r="N29" i="2" s="1"/>
  <c r="O29" i="2" s="1"/>
  <c r="L9" i="2"/>
  <c r="M9" i="2" s="1"/>
  <c r="N9" i="2" s="1"/>
  <c r="O9" i="2" s="1"/>
  <c r="L28" i="2"/>
  <c r="M28" i="2" s="1"/>
  <c r="N28" i="2" s="1"/>
  <c r="O28" i="2" s="1"/>
  <c r="L15" i="2"/>
  <c r="M15" i="2" s="1"/>
  <c r="N15" i="2" s="1"/>
  <c r="O15" i="2" s="1"/>
  <c r="L37" i="2"/>
  <c r="M37" i="2" s="1"/>
  <c r="N37" i="2" s="1"/>
  <c r="O37" i="2" s="1"/>
  <c r="L27" i="2"/>
  <c r="M27" i="2" s="1"/>
  <c r="N27" i="2" s="1"/>
  <c r="O27" i="2" s="1"/>
  <c r="L20" i="2"/>
  <c r="M20" i="2" s="1"/>
  <c r="N20" i="2" s="1"/>
  <c r="O20" i="2" s="1"/>
  <c r="L7" i="2"/>
  <c r="M7" i="2" s="1"/>
  <c r="N7" i="2" s="1"/>
  <c r="O7" i="2" s="1"/>
  <c r="L6" i="2"/>
  <c r="M6" i="2" s="1"/>
  <c r="N6" i="2" s="1"/>
  <c r="O6" i="2" s="1"/>
  <c r="L5" i="2"/>
  <c r="M5" i="2" s="1"/>
  <c r="N5" i="2" s="1"/>
  <c r="O5" i="2" s="1"/>
  <c r="L23" i="2"/>
  <c r="M23" i="2" s="1"/>
  <c r="N23" i="2" s="1"/>
  <c r="O23" i="2" s="1"/>
  <c r="L14" i="2"/>
  <c r="M14" i="2" s="1"/>
  <c r="N14" i="2" s="1"/>
  <c r="O14" i="2" s="1"/>
  <c r="L17" i="2"/>
  <c r="M17" i="2" s="1"/>
  <c r="N17" i="2" s="1"/>
  <c r="O17" i="2" s="1"/>
  <c r="L30" i="2"/>
  <c r="M30" i="2" s="1"/>
  <c r="N30" i="2" s="1"/>
  <c r="O30" i="2" s="1"/>
  <c r="L10" i="2"/>
  <c r="M10" i="2" s="1"/>
  <c r="N10" i="2" s="1"/>
  <c r="O10" i="2" s="1"/>
  <c r="L38" i="2"/>
  <c r="M38" i="2" s="1"/>
  <c r="N38" i="2" s="1"/>
  <c r="O38" i="2" s="1"/>
  <c r="L33" i="2"/>
  <c r="M33" i="2" s="1"/>
  <c r="N33" i="2" s="1"/>
  <c r="O33" i="2" s="1"/>
  <c r="L4" i="2"/>
  <c r="M4" i="2" s="1"/>
  <c r="N4" i="2" s="1"/>
  <c r="O4" i="2" s="1"/>
  <c r="L32" i="2"/>
  <c r="M32" i="2" s="1"/>
  <c r="N32" i="2" s="1"/>
  <c r="O32" i="2" s="1"/>
  <c r="L11" i="2"/>
  <c r="M11" i="2" s="1"/>
  <c r="N11" i="2" s="1"/>
  <c r="O11" i="2" s="1"/>
  <c r="L35" i="2"/>
  <c r="M35" i="2" s="1"/>
  <c r="N35" i="2" s="1"/>
  <c r="O35" i="2" s="1"/>
  <c r="L18" i="2"/>
  <c r="M18" i="2" s="1"/>
  <c r="N18" i="2" s="1"/>
  <c r="O18" i="2" s="1"/>
  <c r="L26" i="2"/>
  <c r="M26" i="2" s="1"/>
  <c r="N26" i="2" s="1"/>
  <c r="O26" i="2" s="1"/>
  <c r="C4" i="1"/>
</calcChain>
</file>

<file path=xl/sharedStrings.xml><?xml version="1.0" encoding="utf-8"?>
<sst xmlns="http://schemas.openxmlformats.org/spreadsheetml/2006/main" count="54" uniqueCount="54">
  <si>
    <t>Symbol</t>
  </si>
  <si>
    <t>Description</t>
  </si>
  <si>
    <t>Last</t>
  </si>
  <si>
    <t>P/L %</t>
  </si>
  <si>
    <t>P/L Open</t>
  </si>
  <si>
    <t>%Change</t>
  </si>
  <si>
    <t>Net Chng</t>
  </si>
  <si>
    <t>Net Liq</t>
  </si>
  <si>
    <t>BLCM</t>
  </si>
  <si>
    <t>NTES</t>
  </si>
  <si>
    <t>ABEO</t>
  </si>
  <si>
    <t>AGRX</t>
  </si>
  <si>
    <t>ANET</t>
  </si>
  <si>
    <t>CRBP</t>
  </si>
  <si>
    <t>AVXL</t>
  </si>
  <si>
    <t>ARAV</t>
  </si>
  <si>
    <t>ULTA</t>
  </si>
  <si>
    <t>AERI</t>
  </si>
  <si>
    <t>AYX</t>
  </si>
  <si>
    <t>THO</t>
  </si>
  <si>
    <t>AGEN</t>
  </si>
  <si>
    <t>ATHM</t>
  </si>
  <si>
    <t>ACAD</t>
  </si>
  <si>
    <t>FLXN</t>
  </si>
  <si>
    <t>ASND</t>
  </si>
  <si>
    <t>DRNA</t>
  </si>
  <si>
    <t>ATRA</t>
  </si>
  <si>
    <t>AKBA</t>
  </si>
  <si>
    <t>DERM</t>
  </si>
  <si>
    <t>ADVM</t>
  </si>
  <si>
    <t>ADMA</t>
  </si>
  <si>
    <t>ALGN</t>
  </si>
  <si>
    <t>BABA</t>
  </si>
  <si>
    <t>BLUE</t>
  </si>
  <si>
    <t>HRTX</t>
  </si>
  <si>
    <t>MU</t>
  </si>
  <si>
    <t>FND</t>
  </si>
  <si>
    <t>CPRI</t>
  </si>
  <si>
    <t>GNMK</t>
  </si>
  <si>
    <t>Pos Qty</t>
  </si>
  <si>
    <t>Avg Price</t>
  </si>
  <si>
    <t>Stop Price</t>
  </si>
  <si>
    <t>Trade Risk</t>
  </si>
  <si>
    <t>Sizing</t>
  </si>
  <si>
    <t>Portfolio Risk</t>
  </si>
  <si>
    <t>Size Gap</t>
  </si>
  <si>
    <t>FIVE</t>
  </si>
  <si>
    <t>PAYC</t>
  </si>
  <si>
    <t>FB</t>
  </si>
  <si>
    <t>NVDA</t>
  </si>
  <si>
    <t>REGN</t>
  </si>
  <si>
    <t>UBNT</t>
  </si>
  <si>
    <t>CNXM</t>
  </si>
  <si>
    <t>NBEV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</si>
</sst>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2" applyNumberFormat="1" applyFont="1"/>
    <xf numFmtId="0" fontId="2" fillId="0" borderId="0" xfId="0" applyFont="1"/>
    <xf numFmtId="43" fontId="0" fillId="0" borderId="0" xfId="1" applyFont="1"/>
    <xf numFmtId="43" fontId="0" fillId="0" borderId="0" xfId="0" applyNumberFormat="1"/>
    <xf numFmtId="1" fontId="2" fillId="0" borderId="0" xfId="1" applyNumberFormat="1" applyFont="1"/>
    <xf numFmtId="1" fontId="0" fillId="0" borderId="0" xfId="1" applyNumberFormat="1" applyFont="1"/>
    <xf numFmtId="44" fontId="0" fillId="0" borderId="0" xfId="3" applyFont="1"/>
    <xf numFmtId="0" fontId="0" fillId="2" borderId="0" xfId="0" applyFill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os.rtd">
      <tp t="s">
        <v>NETEASE INC ADR SPONSORED</v>
        <stp/>
        <stp>DESCRIPTION</stp>
        <stp>NTES</stp>
        <tr r="B34" s="2"/>
      </tp>
      <tp t="s">
        <v>1.96%</v>
        <stp/>
        <stp>P_L_PERCENT</stp>
        <stp>ACAD</stp>
        <tr r="D3" s="2"/>
      </tp>
      <tp t="s">
        <v>AUTOHOME INC ADR</v>
        <stp/>
        <stp>DESCRIPTION</stp>
        <stp>ATHM</stp>
        <tr r="B14" s="2"/>
      </tp>
      <tp t="s">
        <v>ATARA BIOTHERAPEUTICS INC COM</v>
        <stp/>
        <stp>DESCRIPTION</stp>
        <stp>ATRA</stp>
        <tr r="B15" s="2"/>
      </tp>
      <tp>
        <v>0.12</v>
        <stp/>
        <stp>NET_CHANGE</stp>
        <stp>CPRI</stp>
        <tr r="G22" s="2"/>
      </tp>
      <tp t="s">
        <v>-</v>
        <stp/>
        <stp>P_L_PERCENT</stp>
        <stp>NBEV</stp>
        <tr r="D33" s="2"/>
      </tp>
      <tp t="s">
        <v>-0.81%</v>
        <stp/>
        <stp>P_L_PERCENT</stp>
        <stp>ABEO</stp>
        <tr r="D2" s="2"/>
      </tp>
      <tp t="s">
        <v>-</v>
        <stp/>
        <stp>P_L_PERCENT</stp>
        <stp>UBNT</stp>
        <tr r="D39" s="2"/>
      </tp>
      <tp>
        <v>200</v>
        <stp/>
        <stp>POSITION_QTY</stp>
        <stp>AYX</stp>
        <tr r="I17" s="2"/>
      </tp>
      <tp>
        <v>-0.97</v>
        <stp/>
        <stp>NET_CHANGE</stp>
        <stp>ASND</stp>
        <tr r="G13" s="2"/>
      </tp>
      <tp t="s">
        <v>FLOOR &amp; DECOR HOLDINGS INC COM CL A</v>
        <stp/>
        <stp>DESCRIPTION</stp>
        <stp>FND</stp>
        <tr r="B29" s="2"/>
      </tp>
      <tp t="s">
        <v>NVIDIA CORP COM</v>
        <stp/>
        <stp>DESCRIPTION</stp>
        <stp>NVDA</stp>
        <tr r="B35" s="2"/>
      </tp>
      <tp t="s">
        <v>0.76%</v>
        <stp/>
        <stp>P_L_PERCENT</stp>
        <stp>BABA</stp>
        <tr r="D18" s="2"/>
      </tp>
      <tp>
        <v>69.599999999999994</v>
        <stp/>
        <stp>LAST</stp>
        <stp>THO</stp>
        <tr r="C38" s="2"/>
      </tp>
      <tp t="s">
        <v>-</v>
        <stp/>
        <stp>P_L_PERCENT</stp>
        <stp>PAYC</stp>
        <tr r="D36" s="2"/>
      </tp>
      <tp t="s">
        <v>ANAVEX LIFE SCIENC COM</v>
        <stp/>
        <stp>DESCRIPTION</stp>
        <stp>AVXL</stp>
        <tr r="B16" s="2"/>
      </tp>
      <tp>
        <v>-4.6699999999999998E-2</v>
        <stp/>
        <stp>NET_CHANGE</stp>
        <stp>HRTX</stp>
        <tr r="G31" s="2"/>
      </tp>
      <tp>
        <v>-0.1</v>
        <stp/>
        <stp>NET_CHANGE</stp>
        <stp>DRNA</stp>
        <tr r="G25" s="2"/>
      </tp>
      <tp>
        <v>-5.9900000000000002E-2</v>
        <stp/>
        <stp>NET_CHANGE</stp>
        <stp>CRBP</stp>
        <tr r="G23" s="2"/>
      </tp>
      <tp>
        <v>-0.22500000000000001</v>
        <stp/>
        <stp>NET_CHANGE</stp>
        <stp>ARAV</stp>
        <tr r="G12" s="2"/>
      </tp>
      <tp t="s">
        <v>-5.23%</v>
        <stp/>
        <stp>P_L_PERCENT</stp>
        <stp>AGEN</stp>
        <tr r="D7" s="2"/>
      </tp>
      <tp t="s">
        <v>-6.85%</v>
        <stp/>
        <stp>P_L_PERCENT</stp>
        <stp>AGRX</stp>
        <tr r="D8" s="2"/>
      </tp>
      <tp t="s">
        <v>CAPRI HOLDINGS LTD COM</v>
        <stp/>
        <stp>DESCRIPTION</stp>
        <stp>CPRI</stp>
        <tr r="B22" s="2"/>
      </tp>
      <tp>
        <v>67.47</v>
        <stp/>
        <stp>AV_TRADE_PRICE</stp>
        <stp>THO</stp>
        <tr r="J38" s="2"/>
      </tp>
      <tp t="s">
        <v>ALTERYX INC COM CL A</v>
        <stp/>
        <stp>DESCRIPTION</stp>
        <stp>AYX</stp>
        <tr r="B17" s="2"/>
      </tp>
      <tp>
        <v>-0.3</v>
        <stp/>
        <stp>NET_CHANGE</stp>
        <stp>ATRA</stp>
        <tr r="G15" s="2"/>
      </tp>
      <tp>
        <v>1.2350000000000001</v>
        <stp/>
        <stp>NET_CHANGE</stp>
        <stp>ATHM</stp>
        <tr r="G14" s="2"/>
      </tp>
      <tp>
        <v>5.61</v>
        <stp/>
        <stp>NET_CHANGE</stp>
        <stp>NTES</stp>
        <tr r="G34" s="2"/>
      </tp>
      <tp t="s">
        <v>-</v>
        <stp/>
        <stp>P_L_PERCENT</stp>
        <stp>REGN</stp>
        <tr r="D37" s="2"/>
      </tp>
      <tp t="s">
        <v>ARAVIVE INC COM</v>
        <stp/>
        <stp>DESCRIPTION</stp>
        <stp>ARAV</stp>
        <tr r="B12" s="2"/>
      </tp>
      <tp t="s">
        <v>CORBUS PHARMAS HLDGS INC COM</v>
        <stp/>
        <stp>DESCRIPTION</stp>
        <stp>CRBP</stp>
        <tr r="B23" s="2"/>
      </tp>
      <tp t="s">
        <v>DICERNA PHARMACEUTICALS INC. COM</v>
        <stp/>
        <stp>DESCRIPTION</stp>
        <stp>DRNA</stp>
        <tr r="B25" s="2"/>
      </tp>
      <tp>
        <v>0</v>
        <stp/>
        <stp>POSITION_QTY</stp>
        <stp>FND</stp>
        <tr r="I29" s="2"/>
        <tr r="I30" s="2"/>
      </tp>
      <tp t="s">
        <v>HERON THERAPEUTICS INC COM</v>
        <stp/>
        <stp>DESCRIPTION</stp>
        <stp>HRTX</stp>
        <tr r="B31" s="2"/>
      </tp>
      <tp t="s">
        <v>0.00%</v>
        <stp/>
        <stp>P_L_PERCENT</stp>
        <stp>DERM</stp>
        <tr r="D24" s="2"/>
      </tp>
      <tp t="s">
        <v>-1.24%</v>
        <stp/>
        <stp>P_L_PERCENT</stp>
        <stp>AERI</stp>
        <tr r="D6" s="2"/>
      </tp>
      <tp t="s">
        <v>-</v>
        <stp/>
        <stp>P_L_OPEN</stp>
        <stp>MU</stp>
        <tr r="E32" s="2"/>
      </tp>
      <tp t="s">
        <v>-</v>
        <stp/>
        <stp>P_L_OPEN</stp>
        <stp>FB</stp>
        <tr r="E26" s="2"/>
      </tp>
      <tp>
        <v>2.01E-2</v>
        <stp/>
        <stp>NET_CHANGE</stp>
        <stp>AVXL</stp>
        <tr r="G16" s="2"/>
      </tp>
      <tp>
        <v>1.76</v>
        <stp/>
        <stp>NET_CHANGE</stp>
        <stp>NVDA</stp>
        <tr r="G35" s="2"/>
      </tp>
      <tp t="s">
        <v>ASCENDIS PHARMA A/S ADR</v>
        <stp/>
        <stp>DESCRIPTION</stp>
        <stp>ASND</stp>
        <tr r="B13" s="2"/>
      </tp>
      <tp t="s">
        <v>0.00%</v>
        <stp/>
        <stp>P_L_PERCENT</stp>
        <stp>ADMA</stp>
        <tr r="D4" s="2"/>
      </tp>
      <tp t="s">
        <v>0.00%</v>
        <stp/>
        <stp>P_L_PERCENT</stp>
        <stp>ADVM</stp>
        <tr r="D5" s="2"/>
      </tp>
      <tp t="s">
        <v>0.00%</v>
        <stp/>
        <stp>P_L_PERCENT</stp>
        <stp>AKBA</stp>
        <tr r="D9" s="2"/>
      </tp>
      <tp t="s">
        <v>3.16%</v>
        <stp/>
        <stp>P_L_PERCENT</stp>
        <stp>THO</stp>
        <tr r="D38" s="2"/>
      </tp>
      <tp t="s">
        <v>-</v>
        <stp/>
        <stp>P_L_PERCENT</stp>
        <stp>FIVE</stp>
        <tr r="D27" s="2"/>
      </tp>
      <tp>
        <v>13920</v>
        <stp/>
        <stp>POSITION_N_L</stp>
        <stp>THO</stp>
        <tr r="H38" s="2"/>
      </tp>
      <tp t="s">
        <v>0.00%</v>
        <stp/>
        <stp>P_L_PERCENT</stp>
        <stp>ANET</stp>
        <tr r="D11" s="2"/>
      </tp>
      <tp t="s">
        <v>-</v>
        <stp/>
        <stp>P_L_PERCENT</stp>
        <stp>GNMK</stp>
        <tr r="D30" s="2"/>
      </tp>
      <tp t="s">
        <v>-</v>
        <stp/>
        <stp>P_L_PERCENT</stp>
        <stp>CNXM</stp>
        <tr r="D21" s="2"/>
      </tp>
      <tp t="s">
        <v>+0.22%</v>
        <stp/>
        <stp>PERCENT_CHANGE</stp>
        <stp>THO</stp>
        <tr r="F38" s="2"/>
      </tp>
      <tp t="s">
        <v>-10.36%</v>
        <stp/>
        <stp>P_L_PERCENT</stp>
        <stp>BLCM</stp>
        <tr r="D19" s="2"/>
      </tp>
      <tp t="s">
        <v>-</v>
        <stp/>
        <stp>P_L_PERCENT</stp>
        <stp>ALGN</stp>
        <tr r="D10" s="2"/>
      </tp>
      <tp t="s">
        <v>-</v>
        <stp/>
        <stp>P_L_PERCENT</stp>
        <stp>BLUE</stp>
        <tr r="D20" s="2"/>
      </tp>
      <tp t="s">
        <v>0.59%</v>
        <stp/>
        <stp>P_L_PERCENT</stp>
        <stp>ULTA</stp>
        <tr r="D40" s="2"/>
      </tp>
      <tp t="s">
        <v>1.49%</v>
        <stp/>
        <stp>P_L_PERCENT</stp>
        <stp>FLXN</stp>
        <tr r="D28" s="2"/>
      </tp>
      <tp>
        <v>-0.71</v>
        <stp/>
        <stp>NET_CHANGE</stp>
        <stp>PAYC</stp>
        <tr r="G36" s="2"/>
      </tp>
      <tp t="s">
        <v>THOR INDUSTRIES COM</v>
        <stp/>
        <stp>DESCRIPTION</stp>
        <stp>THO</stp>
        <tr r="B38" s="2"/>
      </tp>
      <tp>
        <v>1.83</v>
        <stp/>
        <stp>NET_CHANGE</stp>
        <stp>BABA</stp>
        <tr r="G18" s="2"/>
      </tp>
      <tp t="s">
        <v>ADMA BIOLOGICS INC COM</v>
        <stp/>
        <stp>DESCRIPTION</stp>
        <stp>ADMA</stp>
        <tr r="B4" s="2"/>
      </tp>
      <tp t="s">
        <v>-1.54%</v>
        <stp/>
        <stp>P_L_PERCENT</stp>
        <stp>ASND</stp>
        <tr r="D13" s="2"/>
      </tp>
      <tp t="s">
        <v>ADVERUM BIOTECHNOLOGIES INC COM</v>
        <stp/>
        <stp>DESCRIPTION</stp>
        <stp>ADVM</stp>
        <tr r="B5" s="2"/>
      </tp>
      <tp>
        <v>35.729999999999997</v>
        <stp/>
        <stp>LAST</stp>
        <stp>FND</stp>
        <tr r="C29" s="2"/>
      </tp>
      <tp t="s">
        <v>0.00%</v>
        <stp/>
        <stp>P_L_PERCENT</stp>
        <stp>CRBP</stp>
        <tr r="D23" s="2"/>
      </tp>
      <tp t="s">
        <v>0.00%</v>
        <stp/>
        <stp>P_L_PERCENT</stp>
        <stp>ARAV</stp>
        <tr r="D12" s="2"/>
      </tp>
      <tp t="s">
        <v>REGENERON PHARMACEUTICALS INC COM</v>
        <stp/>
        <stp>DESCRIPTION</stp>
        <stp>REGN</stp>
        <tr r="B37" s="2"/>
      </tp>
      <tp t="s">
        <v>-2.38%</v>
        <stp/>
        <stp>P_L_PERCENT</stp>
        <stp>DRNA</stp>
        <tr r="D25" s="2"/>
      </tp>
      <tp t="s">
        <v>DERMIRA INC COM</v>
        <stp/>
        <stp>DESCRIPTION</stp>
        <stp>DERM</stp>
        <tr r="B24" s="2"/>
      </tp>
      <tp t="s">
        <v>AERIE PHARMACEUTICALS INC COM</v>
        <stp/>
        <stp>DESCRIPTION</stp>
        <stp>AERI</stp>
        <tr r="B6" s="2"/>
      </tp>
      <tp t="s">
        <v>-1.71%</v>
        <stp/>
        <stp>P_L_PERCENT</stp>
        <stp>HRTX</stp>
        <tr r="D31" s="2"/>
      </tp>
      <tp>
        <v>71.14</v>
        <stp/>
        <stp>AV_TRADE_PRICE</stp>
        <stp>AYX</stp>
        <tr r="J17" s="2"/>
      </tp>
      <tp>
        <v>0.2</v>
        <stp/>
        <stp>NET_CHANGE</stp>
        <stp>ACAD</stp>
        <tr r="G3" s="2"/>
      </tp>
      <tp>
        <v>0.03</v>
        <stp/>
        <stp>NET_CHANGE</stp>
        <stp>UBNT</stp>
        <tr r="G39" s="2"/>
      </tp>
      <tp t="s">
        <v>-</v>
        <stp/>
        <stp>P_L_PERCENT</stp>
        <stp>MU</stp>
        <tr r="D32" s="2"/>
      </tp>
      <tp t="s">
        <v>-</v>
        <stp/>
        <stp>P_L_PERCENT</stp>
        <stp>FB</stp>
        <tr r="D26" s="2"/>
      </tp>
      <tp>
        <v>-2.7E-2</v>
        <stp/>
        <stp>NET_CHANGE</stp>
        <stp>NBEV</stp>
        <tr r="G33" s="2"/>
      </tp>
      <tp>
        <v>0.02</v>
        <stp/>
        <stp>NET_CHANGE</stp>
        <stp>ABEO</stp>
        <tr r="G2" s="2"/>
      </tp>
      <tp t="s">
        <v>AGENUS INC COM</v>
        <stp/>
        <stp>DESCRIPTION</stp>
        <stp>AGEN</stp>
        <tr r="B7" s="2"/>
      </tp>
      <tp t="s">
        <v>-</v>
        <stp/>
        <stp>P_L_PERCENT</stp>
        <stp>CPRI</stp>
        <tr r="D22" s="2"/>
      </tp>
      <tp t="s">
        <v>AGILE THERAPEUTICS COM</v>
        <stp/>
        <stp>DESCRIPTION</stp>
        <stp>AGRX</stp>
        <tr r="B8" s="2"/>
      </tp>
      <tp>
        <v>-0.04</v>
        <stp/>
        <stp>NET_CHANGE</stp>
        <stp>AERI</stp>
        <tr r="G6" s="2"/>
      </tp>
      <tp>
        <v>4.2900000000000001E-2</v>
        <stp/>
        <stp>NET_CHANGE</stp>
        <stp>DERM</stp>
        <tr r="G24" s="2"/>
      </tp>
      <tp>
        <v>-2.19</v>
        <stp/>
        <stp>NET_CHANGE</stp>
        <stp>REGN</stp>
        <tr r="G37" s="2"/>
      </tp>
      <tp>
        <v>200</v>
        <stp/>
        <stp>POSITION_QTY</stp>
        <stp>THO</stp>
        <tr r="I38" s="2"/>
      </tp>
      <tp>
        <v>-0.05</v>
        <stp/>
        <stp>NET_CHANGE</stp>
        <stp>ADVM</stp>
        <tr r="G5" s="2"/>
      </tp>
      <tp>
        <v>-9.5000000000000001E-2</v>
        <stp/>
        <stp>NET_CHANGE</stp>
        <stp>ADMA</stp>
        <tr r="G4" s="2"/>
      </tp>
      <tp t="s">
        <v>ALIBABA GROUP HOLDING LTD ADR</v>
        <stp/>
        <stp>DESCRIPTION</stp>
        <stp>BABA</stp>
        <tr r="B18" s="2"/>
      </tp>
      <tp t="s">
        <v>-</v>
        <stp/>
        <stp>P_L_PERCENT</stp>
        <stp>NVDA</stp>
        <tr r="D35" s="2"/>
      </tp>
      <tp t="s">
        <v>0.00%</v>
        <stp/>
        <stp>P_L_PERCENT</stp>
        <stp>AVXL</stp>
        <tr r="D16" s="2"/>
      </tp>
      <tp t="s">
        <v>PAYCOM SOFTWARE INC COM</v>
        <stp/>
        <stp>DESCRIPTION</stp>
        <stp>PAYC</stp>
        <tr r="B36" s="2"/>
      </tp>
      <tp>
        <v>-0.01</v>
        <stp/>
        <stp>NET_CHANGE</stp>
        <stp>AGRX</stp>
        <tr r="G8" s="2"/>
      </tp>
      <tp>
        <v>0</v>
        <stp/>
        <stp>NET_CHANGE</stp>
        <stp>AGEN</stp>
        <tr r="G7" s="2"/>
      </tp>
      <tp t="s">
        <v>NEW AGE BEVERAGES CORPORATION COM</v>
        <stp/>
        <stp>DESCRIPTION</stp>
        <stp>NBEV</stp>
        <tr r="B33" s="2"/>
      </tp>
      <tp t="s">
        <v>ABEONA THERAPEUTICS INC COM</v>
        <stp/>
        <stp>DESCRIPTION</stp>
        <stp>ABEO</stp>
        <tr r="B2" s="2"/>
      </tp>
      <tp t="s">
        <v>UBIQUITI NETWORKS INC COM</v>
        <stp/>
        <stp>DESCRIPTION</stp>
        <stp>UBNT</stp>
        <tr r="B39" s="2"/>
      </tp>
      <tp>
        <v>0</v>
        <stp/>
        <stp>AV_TRADE_PRICE</stp>
        <stp>FND</stp>
        <tr r="J29" s="2"/>
        <tr r="J30" s="2"/>
      </tp>
      <tp>
        <v>71.721299999999999</v>
        <stp/>
        <stp>LAST</stp>
        <stp>AYX</stp>
        <tr r="C17" s="2"/>
      </tp>
      <tp t="s">
        <v>ACADIA PHARMACEUTICALS INC COM</v>
        <stp/>
        <stp>DESCRIPTION</stp>
        <stp>ACAD</stp>
        <tr r="B3" s="2"/>
      </tp>
      <tp t="s">
        <v>-2.08%</v>
        <stp/>
        <stp>P_L_PERCENT</stp>
        <stp>NTES</stp>
        <tr r="D34" s="2"/>
      </tp>
      <tp t="s">
        <v>0.00%</v>
        <stp/>
        <stp>P_L_PERCENT</stp>
        <stp>ATHM</stp>
        <tr r="D14" s="2"/>
      </tp>
      <tp t="s">
        <v>3.62%</v>
        <stp/>
        <stp>P_L_PERCENT</stp>
        <stp>ATRA</stp>
        <tr r="D15" s="2"/>
      </tp>
      <tp t="s">
        <v>FACEBOOK INC COM CL A</v>
        <stp/>
        <stp>DESCRIPTION</stp>
        <stp>FB</stp>
        <tr r="B26" s="2"/>
      </tp>
      <tp t="s">
        <v>MICRON TECHNOLOGY INC COM</v>
        <stp/>
        <stp>DESCRIPTION</stp>
        <stp>MU</stp>
        <tr r="B32" s="2"/>
      </tp>
      <tp>
        <v>1.385</v>
        <stp/>
        <stp>NET_CHANGE</stp>
        <stp>FIVE</stp>
        <tr r="G27" s="2"/>
      </tp>
      <tp t="s">
        <v>0.00%</v>
        <stp/>
        <stp>P_L_PERCENT</stp>
        <stp>FND</stp>
        <tr r="D29" s="2"/>
      </tp>
      <tp t="s">
        <v>ALIGN TECHNOLOGY INC COM</v>
        <stp/>
        <stp>DESCRIPTION</stp>
        <stp>ALGN</stp>
        <tr r="B10" s="2"/>
      </tp>
      <tp t="s">
        <v>BELLICUM PHARMACEUTICALS COM</v>
        <stp/>
        <stp>DESCRIPTION</stp>
        <stp>BLCM</stp>
        <tr r="B19" s="2"/>
      </tp>
      <tp t="s">
        <v>ULTA BEAUTY INC COM</v>
        <stp/>
        <stp>DESCRIPTION</stp>
        <stp>ULTA</stp>
        <tr r="B40" s="2"/>
      </tp>
      <tp t="s">
        <v>BLUEBIRD BIO INC COM</v>
        <stp/>
        <stp>DESCRIPTION</stp>
        <stp>BLUE</stp>
        <tr r="B20" s="2"/>
      </tp>
      <tp t="s">
        <v>FLEXION THERAPEUTICS INC COM</v>
        <stp/>
        <stp>DESCRIPTION</stp>
        <stp>FLXN</stp>
        <tr r="B28" s="2"/>
      </tp>
      <tp>
        <v>0</v>
        <stp/>
        <stp>POSITION_N_L</stp>
        <stp>FND</stp>
        <tr r="H29" s="2"/>
      </tp>
      <tp>
        <v>5.0200000000000002E-2</v>
        <stp/>
        <stp>NET_CHANGE</stp>
        <stp>AKBA</stp>
        <tr r="G9" s="2"/>
      </tp>
      <tp t="s">
        <v>ARISTA NETWORKS INC COM</v>
        <stp/>
        <stp>DESCRIPTION</stp>
        <stp>ANET</stp>
        <tr r="B11" s="2"/>
      </tp>
      <tp t="s">
        <v>GENMARK DIAGNOSTICS INC COM</v>
        <stp/>
        <stp>DESCRIPTION</stp>
        <stp>GNMK</stp>
        <tr r="B30" s="2"/>
      </tp>
      <tp t="s">
        <v>CNX MIDSTREAM PARTNERS LP COM UNIT REPST</v>
        <stp/>
        <stp>DESCRIPTION</stp>
        <stp>CNXM</stp>
        <tr r="B21" s="2"/>
      </tp>
      <tp t="s">
        <v>+0.53%</v>
        <stp/>
        <stp>PERCENT_CHANGE</stp>
        <stp>AYX</stp>
        <tr r="F17" s="2"/>
      </tp>
      <tp t="s">
        <v>+2.14%</v>
        <stp/>
        <stp>PERCENT_CHANGE</stp>
        <stp>FND</stp>
        <tr r="F29" s="2"/>
      </tp>
      <tp>
        <v>0.18</v>
        <stp/>
        <stp>NET_CHANGE</stp>
        <stp>FLXN</stp>
        <tr r="G28" s="2"/>
      </tp>
      <tp>
        <v>0.13</v>
        <stp/>
        <stp>NET_CHANGE</stp>
        <stp>BLUE</stp>
        <tr r="G20" s="2"/>
      </tp>
      <tp>
        <v>1.3260000000000001</v>
        <stp/>
        <stp>NET_CHANGE</stp>
        <stp>ULTA</stp>
        <tr r="G40" s="2"/>
      </tp>
      <tp>
        <v>-2.68</v>
        <stp/>
        <stp>NET_CHANGE</stp>
        <stp>ALGN</stp>
        <tr r="G10" s="2"/>
      </tp>
      <tp>
        <v>0.06</v>
        <stp/>
        <stp>NET_CHANGE</stp>
        <stp>BLCM</stp>
        <tr r="G19" s="2"/>
      </tp>
      <tp t="s">
        <v>FIVE BELOW INC COM</v>
        <stp/>
        <stp>DESCRIPTION</stp>
        <stp>FIVE</stp>
        <tr r="B27" s="2"/>
      </tp>
      <tp>
        <v>14344.26</v>
        <stp/>
        <stp>POSITION_N_L</stp>
        <stp>AYX</stp>
        <tr r="H17" s="2"/>
      </tp>
      <tp>
        <v>9.7000000000000003E-3</v>
        <stp/>
        <stp>NET_CHANGE</stp>
        <stp>CNXM</stp>
        <tr r="G21" s="2"/>
      </tp>
      <tp>
        <v>-4.4999999999999998E-2</v>
        <stp/>
        <stp>NET_CHANGE</stp>
        <stp>GNMK</stp>
        <tr r="G30" s="2"/>
      </tp>
      <tp t="s">
        <v>0.82%</v>
        <stp/>
        <stp>P_L_PERCENT</stp>
        <stp>AYX</stp>
        <tr r="D17" s="2"/>
      </tp>
      <tp>
        <v>2.9458000000000002</v>
        <stp/>
        <stp>NET_CHANGE</stp>
        <stp>ANET</stp>
        <tr r="G11" s="2"/>
      </tp>
      <tp t="s">
        <v>AKEBIA THERAPEUTICS INC COM</v>
        <stp/>
        <stp>DESCRIPTION</stp>
        <stp>AKBA</stp>
        <tr r="B9" s="2"/>
      </tp>
      <tp t="s">
        <v>-</v>
        <stp/>
        <stp>POSITION_QTY</stp>
        <stp>PAYC</stp>
        <tr r="I36" s="2"/>
      </tp>
      <tp>
        <v>100</v>
        <stp/>
        <stp>POSITION_QTY</stp>
        <stp>BABA</stp>
        <tr r="I18" s="2"/>
      </tp>
      <tp>
        <v>0</v>
        <stp/>
        <stp>POSITION_N_L</stp>
        <stp>AKBA</stp>
        <tr r="H9" s="2"/>
      </tp>
      <tp>
        <v>200</v>
        <stp/>
        <stp>POSITION_QTY</stp>
        <stp>ACAD</stp>
        <tr r="I3" s="2"/>
      </tp>
      <tp>
        <v>600</v>
        <stp/>
        <stp>POSITION_QTY</stp>
        <stp>ABEO</stp>
        <tr r="I2" s="2"/>
      </tp>
      <tp t="s">
        <v>-</v>
        <stp/>
        <stp>POSITION_QTY</stp>
        <stp>NBEV</stp>
        <tr r="I33" s="2"/>
      </tp>
      <tp t="s">
        <v>-</v>
        <stp/>
        <stp>POSITION_N_L</stp>
        <stp>FIVE</stp>
        <tr r="H27" s="2"/>
      </tp>
      <tp t="s">
        <v>-</v>
        <stp/>
        <stp>POSITION_QTY</stp>
        <stp>UBNT</stp>
        <tr r="I39" s="2"/>
      </tp>
      <tp>
        <v>0</v>
        <stp/>
        <stp>POSITION_N_L</stp>
        <stp>ANET</stp>
        <tr r="H11" s="2"/>
      </tp>
      <tp>
        <v>0</v>
        <stp/>
        <stp>POSITION_QTY</stp>
        <stp>DERM</stp>
        <tr r="I24" s="2"/>
      </tp>
      <tp>
        <v>100</v>
        <stp/>
        <stp>POSITION_QTY</stp>
        <stp>AERI</stp>
        <tr r="I6" s="2"/>
      </tp>
      <tp t="s">
        <v>-</v>
        <stp/>
        <stp>POSITION_N_L</stp>
        <stp>GNMK</stp>
        <tr r="H30" s="2"/>
      </tp>
      <tp t="s">
        <v>-</v>
        <stp/>
        <stp>POSITION_QTY</stp>
        <stp>REGN</stp>
        <tr r="I37" s="2"/>
      </tp>
      <tp t="s">
        <v>-</v>
        <stp/>
        <stp>POSITION_N_L</stp>
        <stp>CNXM</stp>
        <tr r="H21" s="2"/>
      </tp>
      <tp>
        <v>0</v>
        <stp/>
        <stp>POSITION_QTY</stp>
        <stp>ADVM</stp>
        <tr r="I5" s="2"/>
      </tp>
      <tp>
        <v>0</v>
        <stp/>
        <stp>POSITION_QTY</stp>
        <stp>ADMA</stp>
        <tr r="I4" s="2"/>
      </tp>
      <tp>
        <v>320</v>
        <stp/>
        <stp>POSITION_N_L</stp>
        <stp>BLCM</stp>
        <tr r="H19" s="2"/>
      </tp>
      <tp t="s">
        <v>-</v>
        <stp/>
        <stp>POSITION_N_L</stp>
        <stp>ALGN</stp>
        <tr r="H10" s="2"/>
      </tp>
      <tp>
        <v>100</v>
        <stp/>
        <stp>POSITION_QTY</stp>
        <stp>AGRX</stp>
        <tr r="I8" s="2"/>
      </tp>
      <tp>
        <v>200</v>
        <stp/>
        <stp>POSITION_QTY</stp>
        <stp>AGEN</stp>
        <tr r="I7" s="2"/>
      </tp>
      <tp t="s">
        <v>-</v>
        <stp/>
        <stp>POSITION_N_L</stp>
        <stp>BLUE</stp>
        <tr r="H20" s="2"/>
      </tp>
      <tp>
        <v>30597.599999999999</v>
        <stp/>
        <stp>POSITION_N_L</stp>
        <stp>ULTA</stp>
        <tr r="H40" s="2"/>
      </tp>
      <tp>
        <v>4350</v>
        <stp/>
        <stp>POSITION_N_L</stp>
        <stp>FLXN</stp>
        <tr r="H28" s="2"/>
      </tp>
      <tp t="s">
        <v>-</v>
        <stp/>
        <stp>POSITION_QTY</stp>
        <stp>FIVE</stp>
        <tr r="I27" s="2"/>
      </tp>
      <tp>
        <v>27.343299999999999</v>
        <stp/>
        <stp>LAST</stp>
        <stp>HRTX</stp>
        <tr r="C31" s="2"/>
      </tp>
      <tp>
        <v>4020</v>
        <stp/>
        <stp>POSITION_N_L</stp>
        <stp>ABEO</stp>
        <tr r="H2" s="2"/>
      </tp>
      <tp t="s">
        <v>-</v>
        <stp/>
        <stp>POSITION_N_L</stp>
        <stp>NBEV</stp>
        <tr r="H33" s="2"/>
      </tp>
      <tp t="s">
        <v>-</v>
        <stp/>
        <stp>POSITION_N_L</stp>
        <stp>UBNT</stp>
        <tr r="H39" s="2"/>
      </tp>
      <tp>
        <v>8.5601000000000003</v>
        <stp/>
        <stp>LAST</stp>
        <stp>CRBP</stp>
        <tr r="C23" s="2"/>
      </tp>
      <tp>
        <v>5.0250000000000004</v>
        <stp/>
        <stp>LAST</stp>
        <stp>ARAV</stp>
        <tr r="C12" s="2"/>
      </tp>
      <tp>
        <v>10.65</v>
        <stp/>
        <stp>LAST</stp>
        <stp>DRNA</stp>
        <tr r="C25" s="2"/>
      </tp>
      <tp>
        <v>4636</v>
        <stp/>
        <stp>POSITION_N_L</stp>
        <stp>ACAD</stp>
        <tr r="H3" s="2"/>
      </tp>
      <tp>
        <v>70.239999999999995</v>
        <stp/>
        <stp>LAST</stp>
        <stp>ASND</stp>
        <tr r="C13" s="2"/>
      </tp>
      <tp>
        <v>44.15</v>
        <stp/>
        <stp>LAST</stp>
        <stp>CPRI</stp>
        <tr r="C22" s="2"/>
      </tp>
      <tp>
        <v>0</v>
        <stp/>
        <stp>POSITION_QTY</stp>
        <stp>AKBA</stp>
        <tr r="I9" s="2"/>
      </tp>
      <tp>
        <v>17201</v>
        <stp/>
        <stp>POSITION_N_L</stp>
        <stp>BABA</stp>
        <tr r="H18" s="2"/>
      </tp>
      <tp t="s">
        <v>-</v>
        <stp/>
        <stp>POSITION_N_L</stp>
        <stp>PAYC</stp>
        <tr r="H36" s="2"/>
      </tp>
      <tp>
        <v>2.4201000000000001</v>
        <stp/>
        <stp>LAST</stp>
        <stp>AVXL</stp>
        <tr r="C16" s="2"/>
      </tp>
      <tp>
        <v>158.4</v>
        <stp/>
        <stp>LAST</stp>
        <stp>NVDA</stp>
        <tr r="C35" s="2"/>
      </tp>
      <tp>
        <v>100</v>
        <stp/>
        <stp>POSITION_QTY</stp>
        <stp>ULTA</stp>
        <tr r="I40" s="2"/>
      </tp>
      <tp t="s">
        <v>-</v>
        <stp/>
        <stp>POSITION_QTY</stp>
        <stp>BLUE</stp>
        <tr r="I20" s="2"/>
      </tp>
      <tp>
        <v>634</v>
        <stp/>
        <stp>POSITION_N_L</stp>
        <stp>AGEN</stp>
        <tr r="H7" s="2"/>
      </tp>
      <tp>
        <v>300</v>
        <stp/>
        <stp>POSITION_QTY</stp>
        <stp>FLXN</stp>
        <tr r="I28" s="2"/>
      </tp>
      <tp t="s">
        <v>-</v>
        <stp/>
        <stp>POSITION_QTY</stp>
        <stp>ALGN</stp>
        <tr r="I10" s="2"/>
      </tp>
      <tp>
        <v>102</v>
        <stp/>
        <stp>POSITION_N_L</stp>
        <stp>AGRX</stp>
        <tr r="H8" s="2"/>
      </tp>
      <tp>
        <v>100</v>
        <stp/>
        <stp>POSITION_QTY</stp>
        <stp>BLCM</stp>
        <tr r="I19" s="2"/>
      </tp>
      <tp>
        <v>39.97</v>
        <stp/>
        <stp>LAST</stp>
        <stp>ATRA</stp>
        <tr r="C15" s="2"/>
      </tp>
      <tp>
        <v>0</v>
        <stp/>
        <stp>POSITION_N_L</stp>
        <stp>ADMA</stp>
        <tr r="H4" s="2"/>
      </tp>
      <tp>
        <v>235.25</v>
        <stp/>
        <stp>LAST</stp>
        <stp>NTES</stp>
        <tr r="C34" s="2"/>
      </tp>
      <tp>
        <v>0</v>
        <stp/>
        <stp>POSITION_N_L</stp>
        <stp>ADVM</stp>
        <tr r="H5" s="2"/>
      </tp>
      <tp>
        <v>80.484999999999999</v>
        <stp/>
        <stp>LAST</stp>
        <stp>ATHM</stp>
        <tr r="C14" s="2"/>
      </tp>
      <tp t="s">
        <v>-</v>
        <stp/>
        <stp>POSITION_N_L</stp>
        <stp>REGN</stp>
        <tr r="H37" s="2"/>
      </tp>
      <tp t="s">
        <v>-</v>
        <stp/>
        <stp>POSITION_QTY</stp>
        <stp>CNXM</stp>
        <tr r="I21" s="2"/>
      </tp>
      <tp>
        <v>0</v>
        <stp/>
        <stp>POSITION_QTY</stp>
        <stp>ANET</stp>
        <tr r="I11" s="2"/>
      </tp>
      <tp>
        <v>0</v>
        <stp/>
        <stp>POSITION_N_L</stp>
        <stp>DERM</stp>
        <tr r="H24" s="2"/>
      </tp>
      <tp>
        <v>4076</v>
        <stp/>
        <stp>POSITION_N_L</stp>
        <stp>AERI</stp>
        <tr r="H6" s="2"/>
      </tp>
      <tp t="s">
        <v>-</v>
        <stp/>
        <stp>POSITION_QTY</stp>
        <stp>CPRI</stp>
        <tr r="I22" s="2"/>
      </tp>
      <tp>
        <v>6.6002000000000001</v>
        <stp/>
        <stp>LAST</stp>
        <stp>AKBA</stp>
        <tr r="C9" s="2"/>
      </tp>
      <tp>
        <v>200</v>
        <stp/>
        <stp>POSITION_QTY</stp>
        <stp>ASND</stp>
        <tr r="I13" s="2"/>
      </tp>
      <tp>
        <v>130.495</v>
        <stp/>
        <stp>LAST</stp>
        <stp>FIVE</stp>
        <tr r="C27" s="2"/>
      </tp>
      <tp>
        <v>200</v>
        <stp/>
        <stp>POSITION_QTY</stp>
        <stp>HRTX</stp>
        <tr r="I31" s="2"/>
      </tp>
      <tp>
        <v>0</v>
        <stp/>
        <stp>POSITION_QTY</stp>
        <stp>ARAV</stp>
        <tr r="I12" s="2"/>
      </tp>
      <tp>
        <v>0</v>
        <stp/>
        <stp>POSITION_QTY</stp>
        <stp>CRBP</stp>
        <tr r="I23" s="2"/>
      </tp>
      <tp>
        <v>100</v>
        <stp/>
        <stp>POSITION_QTY</stp>
        <stp>DRNA</stp>
        <tr r="I25" s="2"/>
      </tp>
      <tp>
        <v>16.059699999999999</v>
        <stp/>
        <stp>LAST</stp>
        <stp>CNXM</stp>
        <tr r="C21" s="2"/>
      </tp>
      <tp>
        <v>272.5258</v>
        <stp/>
        <stp>LAST</stp>
        <stp>ANET</stp>
        <tr r="C11" s="2"/>
      </tp>
      <tp>
        <v>6.2149999999999999</v>
        <stp/>
        <stp>LAST</stp>
        <stp>GNMK</stp>
        <tr r="C30" s="2"/>
      </tp>
      <tp>
        <v>200</v>
        <stp/>
        <stp>POSITION_QTY</stp>
        <stp>ATRA</stp>
        <tr r="I15" s="2"/>
      </tp>
      <tp>
        <v>300</v>
        <stp/>
        <stp>POSITION_QTY</stp>
        <stp>NTES</stp>
        <tr r="I34" s="2"/>
      </tp>
      <tp>
        <v>0</v>
        <stp/>
        <stp>POSITION_QTY</stp>
        <stp>ATHM</stp>
        <tr r="I14" s="2"/>
      </tp>
      <tp>
        <v>305.976</v>
        <stp/>
        <stp>LAST</stp>
        <stp>ULTA</stp>
        <tr r="C40" s="2"/>
      </tp>
      <tp>
        <v>135.74</v>
        <stp/>
        <stp>LAST</stp>
        <stp>BLUE</stp>
        <tr r="C20" s="2"/>
      </tp>
      <tp>
        <v>14.5</v>
        <stp/>
        <stp>LAST</stp>
        <stp>FLXN</stp>
        <tr r="C28" s="2"/>
      </tp>
      <tp>
        <v>252.56</v>
        <stp/>
        <stp>LAST</stp>
        <stp>ALGN</stp>
        <tr r="C10" s="2"/>
      </tp>
      <tp>
        <v>3.2</v>
        <stp/>
        <stp>LAST</stp>
        <stp>BLCM</stp>
        <tr r="C19" s="2"/>
      </tp>
      <tp>
        <v>0</v>
        <stp/>
        <stp>POSITION_QTY</stp>
        <stp>AVXL</stp>
        <tr r="I16" s="2"/>
      </tp>
      <tp t="s">
        <v>-</v>
        <stp/>
        <stp>POSITION_QTY</stp>
        <stp>NVDA</stp>
        <tr r="I35" s="2"/>
      </tp>
      <tp>
        <v>0</v>
        <stp/>
        <stp>POSITION_N_L</stp>
        <stp>ARAV</stp>
        <tr r="H12" s="2"/>
      </tp>
      <tp>
        <v>0</v>
        <stp/>
        <stp>POSITION_N_L</stp>
        <stp>CRBP</stp>
        <tr r="H23" s="2"/>
      </tp>
      <tp>
        <v>1065</v>
        <stp/>
        <stp>POSITION_N_L</stp>
        <stp>DRNA</stp>
        <tr r="H25" s="2"/>
      </tp>
      <tp>
        <v>6.3230000000000004</v>
        <stp/>
        <stp>LAST</stp>
        <stp>NBEV</stp>
        <tr r="C33" s="2"/>
      </tp>
      <tp>
        <v>6.7</v>
        <stp/>
        <stp>LAST</stp>
        <stp>ABEO</stp>
        <tr r="C2" s="2"/>
      </tp>
      <tp>
        <v>5468.66</v>
        <stp/>
        <stp>POSITION_N_L</stp>
        <stp>HRTX</stp>
        <tr r="H31" s="2"/>
      </tp>
      <tp>
        <v>138.25</v>
        <stp/>
        <stp>LAST</stp>
        <stp>UBNT</stp>
        <tr r="C39" s="2"/>
      </tp>
      <tp>
        <v>14048</v>
        <stp/>
        <stp>POSITION_N_L</stp>
        <stp>ASND</stp>
        <tr r="H13" s="2"/>
      </tp>
      <tp>
        <v>23.18</v>
        <stp/>
        <stp>LAST</stp>
        <stp>ACAD</stp>
        <tr r="C3" s="2"/>
      </tp>
      <tp t="s">
        <v>-</v>
        <stp/>
        <stp>POSITION_N_L</stp>
        <stp>CPRI</stp>
        <tr r="H22" s="2"/>
      </tp>
      <tp>
        <v>178.85</v>
        <stp/>
        <stp>LAST</stp>
        <stp>PAYC</stp>
        <tr r="C36" s="2"/>
      </tp>
      <tp>
        <v>172.01</v>
        <stp/>
        <stp>LAST</stp>
        <stp>BABA</stp>
        <tr r="C18" s="2"/>
      </tp>
      <tp t="s">
        <v>-</v>
        <stp/>
        <stp>POSITION_N_L</stp>
        <stp>NVDA</stp>
        <tr r="H35" s="2"/>
      </tp>
      <tp>
        <v>0</v>
        <stp/>
        <stp>POSITION_N_L</stp>
        <stp>AVXL</stp>
        <tr r="H16" s="2"/>
      </tp>
      <tp>
        <v>1.02</v>
        <stp/>
        <stp>LAST</stp>
        <stp>AGRX</stp>
        <tr r="C8" s="2"/>
      </tp>
      <tp>
        <v>3.17</v>
        <stp/>
        <stp>LAST</stp>
        <stp>AGEN</stp>
        <tr r="C7" s="2"/>
      </tp>
      <tp>
        <v>3.64</v>
        <stp/>
        <stp>LAST</stp>
        <stp>ADVM</stp>
        <tr r="C5" s="2"/>
      </tp>
      <tp>
        <v>70575</v>
        <stp/>
        <stp>POSITION_N_L</stp>
        <stp>NTES</stp>
        <tr r="H34" s="2"/>
      </tp>
      <tp>
        <v>0</v>
        <stp/>
        <stp>POSITION_N_L</stp>
        <stp>ATHM</stp>
        <tr r="H14" s="2"/>
      </tp>
      <tp>
        <v>7994</v>
        <stp/>
        <stp>POSITION_N_L</stp>
        <stp>ATRA</stp>
        <tr r="H15" s="2"/>
      </tp>
      <tp>
        <v>3.91</v>
        <stp/>
        <stp>LAST</stp>
        <stp>ADMA</stp>
        <tr r="C4" s="2"/>
      </tp>
      <tp>
        <v>0.83650000000000002</v>
        <stp/>
        <stp>NET_CHANGE</stp>
        <stp>MU</stp>
        <tr r="G32" s="2"/>
      </tp>
      <tp>
        <v>1.3</v>
        <stp/>
        <stp>NET_CHANGE</stp>
        <stp>FB</stp>
        <tr r="G26" s="2"/>
      </tp>
      <tp>
        <v>40.76</v>
        <stp/>
        <stp>LAST</stp>
        <stp>AERI</stp>
        <tr r="C6" s="2"/>
      </tp>
      <tp>
        <v>7.6329000000000002</v>
        <stp/>
        <stp>LAST</stp>
        <stp>DERM</stp>
        <tr r="C24" s="2"/>
      </tp>
      <tp>
        <v>418.41</v>
        <stp/>
        <stp>LAST</stp>
        <stp>REGN</stp>
        <tr r="C37" s="2"/>
      </tp>
      <tp>
        <v>38.58</v>
        <stp/>
        <stp>AV_TRADE_PRICE</stp>
        <stp>ATRA</stp>
        <tr r="J15" s="2"/>
      </tp>
      <tp>
        <v>240.25</v>
        <stp/>
        <stp>AV_TRADE_PRICE</stp>
        <stp>NTES</stp>
        <tr r="J34" s="2"/>
      </tp>
      <tp>
        <v>0</v>
        <stp/>
        <stp>AV_TRADE_PRICE</stp>
        <stp>ATHM</stp>
        <tr r="J14" s="2"/>
      </tp>
      <tp t="s">
        <v>+0.77%</v>
        <stp/>
        <stp>PERCENT_CHANGE</stp>
        <stp>AKBA</stp>
        <tr r="F9" s="2"/>
      </tp>
      <tp t="s">
        <v>-</v>
        <stp/>
        <stp>POSITION_QTY</stp>
        <stp>FB</stp>
        <tr r="I26" s="2"/>
      </tp>
      <tp t="s">
        <v>-</v>
        <stp/>
        <stp>POSITION_QTY</stp>
        <stp>MU</stp>
        <tr r="I32" s="2"/>
      </tp>
      <tp t="s">
        <v>-</v>
        <stp/>
        <stp>POSITION_N_L</stp>
        <stp>MU</stp>
        <tr r="H32" s="2"/>
      </tp>
      <tp t="s">
        <v>-</v>
        <stp/>
        <stp>POSITION_N_L</stp>
        <stp>FB</stp>
        <tr r="H26" s="2"/>
      </tp>
      <tp>
        <v>0</v>
        <stp/>
        <stp>AV_TRADE_PRICE</stp>
        <stp>AVXL</stp>
        <tr r="J16" s="2"/>
      </tp>
      <tp t="s">
        <v>-</v>
        <stp/>
        <stp>AV_TRADE_PRICE</stp>
        <stp>NVDA</stp>
        <tr r="J35" s="2"/>
      </tp>
      <tp t="s">
        <v>+1.07%</v>
        <stp/>
        <stp>PERCENT_CHANGE</stp>
        <stp>FIVE</stp>
        <tr r="F27" s="2"/>
      </tp>
      <tp t="s">
        <v>-</v>
        <stp/>
        <stp>AV_TRADE_PRICE</stp>
        <stp>CPRI</stp>
        <tr r="J22" s="2"/>
      </tp>
      <tp t="s">
        <v>+0.06%</v>
        <stp/>
        <stp>PERCENT_CHANGE</stp>
        <stp>CNXM</stp>
        <tr r="F21" s="2"/>
      </tp>
      <tp t="s">
        <v>+1.09%</v>
        <stp/>
        <stp>PERCENT_CHANGE</stp>
        <stp>ANET</stp>
        <tr r="F11" s="2"/>
      </tp>
      <tp t="s">
        <v>-0.72%</v>
        <stp/>
        <stp>PERCENT_CHANGE</stp>
        <stp>GNMK</stp>
        <tr r="F30" s="2"/>
      </tp>
      <tp>
        <v>27.82</v>
        <stp/>
        <stp>AV_TRADE_PRICE</stp>
        <stp>HRTX</stp>
        <tr r="J31" s="2"/>
      </tp>
      <tp t="s">
        <v>+0.10%</v>
        <stp/>
        <stp>PERCENT_CHANGE</stp>
        <stp>BLUE</stp>
        <tr r="F20" s="2"/>
      </tp>
      <tp t="s">
        <v>+0.44%</v>
        <stp/>
        <stp>PERCENT_CHANGE</stp>
        <stp>ULTA</stp>
        <tr r="F40" s="2"/>
      </tp>
      <tp t="s">
        <v>+1.26%</v>
        <stp/>
        <stp>PERCENT_CHANGE</stp>
        <stp>FLXN</stp>
        <tr r="F28" s="2"/>
      </tp>
      <tp t="s">
        <v>+1.91%</v>
        <stp/>
        <stp>PERCENT_CHANGE</stp>
        <stp>BLCM</stp>
        <tr r="F19" s="2"/>
      </tp>
      <tp>
        <v>0</v>
        <stp/>
        <stp>AV_TRADE_PRICE</stp>
        <stp>ARAV</stp>
        <tr r="J12" s="2"/>
      </tp>
      <tp t="s">
        <v>-1.05%</v>
        <stp/>
        <stp>PERCENT_CHANGE</stp>
        <stp>ALGN</stp>
        <tr r="F10" s="2"/>
      </tp>
      <tp>
        <v>0</v>
        <stp/>
        <stp>AV_TRADE_PRICE</stp>
        <stp>CRBP</stp>
        <tr r="J23" s="2"/>
      </tp>
      <tp>
        <v>10.91</v>
        <stp/>
        <stp>AV_TRADE_PRICE</stp>
        <stp>DRNA</stp>
        <tr r="J25" s="2"/>
      </tp>
      <tp>
        <v>71.33</v>
        <stp/>
        <stp>AV_TRADE_PRICE</stp>
        <stp>ASND</stp>
        <tr r="J13" s="2"/>
      </tp>
      <tp t="s">
        <v>+0.30%</v>
        <stp/>
        <stp>PERCENT_CHANGE</stp>
        <stp>ABEO</stp>
        <tr r="F2" s="2"/>
      </tp>
      <tp t="s">
        <v>-0.43%</v>
        <stp/>
        <stp>PERCENT_CHANGE</stp>
        <stp>NBEV</stp>
        <tr r="F33" s="2"/>
      </tp>
      <tp t="s">
        <v>+0.02%</v>
        <stp/>
        <stp>PERCENT_CHANGE</stp>
        <stp>UBNT</stp>
        <tr r="F39" s="2"/>
      </tp>
      <tp>
        <v>0.15</v>
        <stp/>
        <stp>NET_CHANGE</stp>
        <stp>THO</stp>
        <tr r="G38" s="2"/>
      </tp>
      <tp t="s">
        <v>+0.87%</v>
        <stp/>
        <stp>PERCENT_CHANGE</stp>
        <stp>ACAD</stp>
        <tr r="F3" s="2"/>
      </tp>
      <tp t="s">
        <v>-0.40%</v>
        <stp/>
        <stp>PERCENT_CHANGE</stp>
        <stp>PAYC</stp>
        <tr r="F36" s="2"/>
      </tp>
      <tp t="s">
        <v>+1.08%</v>
        <stp/>
        <stp>PERCENT_CHANGE</stp>
        <stp>BABA</stp>
        <tr r="F18" s="2"/>
      </tp>
      <tp>
        <v>427</v>
        <stp/>
        <stp>P_L_OPEN</stp>
        <stp>THO</stp>
        <tr r="E38" s="2"/>
      </tp>
      <tp t="s">
        <v>-0.97%</v>
        <stp/>
        <stp>PERCENT_CHANGE</stp>
        <stp>AGRX</stp>
        <tr r="F8" s="2"/>
      </tp>
      <tp t="s">
        <v>0.00%</v>
        <stp/>
        <stp>PERCENT_CHANGE</stp>
        <stp>AGEN</stp>
        <tr r="F7" s="2"/>
      </tp>
      <tp t="s">
        <v>-1.36%</v>
        <stp/>
        <stp>PERCENT_CHANGE</stp>
        <stp>ADVM</stp>
        <tr r="F5" s="2"/>
      </tp>
      <tp t="s">
        <v>-2.37%</v>
        <stp/>
        <stp>PERCENT_CHANGE</stp>
        <stp>ADMA</stp>
        <tr r="F4" s="2"/>
      </tp>
      <tp t="s">
        <v>-0.10%</v>
        <stp/>
        <stp>PERCENT_CHANGE</stp>
        <stp>AERI</stp>
        <tr r="F6" s="2"/>
      </tp>
      <tp t="s">
        <v>+0.57%</v>
        <stp/>
        <stp>PERCENT_CHANGE</stp>
        <stp>DERM</stp>
        <tr r="F24" s="2"/>
      </tp>
      <tp t="s">
        <v>-0.52%</v>
        <stp/>
        <stp>PERCENT_CHANGE</stp>
        <stp>REGN</stp>
        <tr r="F37" s="2"/>
      </tp>
      <tp>
        <v>0</v>
        <stp/>
        <stp>AV_TRADE_PRICE</stp>
        <stp>ADVM</stp>
        <tr r="J5" s="2"/>
      </tp>
      <tp>
        <v>0</v>
        <stp/>
        <stp>AV_TRADE_PRICE</stp>
        <stp>ADMA</stp>
        <tr r="J4" s="2"/>
      </tp>
      <tp>
        <v>0</v>
        <stp/>
        <stp>AV_TRADE_PRICE</stp>
        <stp>DERM</stp>
        <tr r="J24" s="2"/>
      </tp>
      <tp>
        <v>41.27</v>
        <stp/>
        <stp>AV_TRADE_PRICE</stp>
        <stp>AERI</stp>
        <tr r="J6" s="2"/>
      </tp>
      <tp t="s">
        <v>-</v>
        <stp/>
        <stp>AV_TRADE_PRICE</stp>
        <stp>REGN</stp>
        <tr r="J37" s="2"/>
      </tp>
      <tp>
        <v>1.1000000000000001</v>
        <stp/>
        <stp>AV_TRADE_PRICE</stp>
        <stp>AGRX</stp>
        <tr r="J8" s="2"/>
      </tp>
      <tp>
        <v>3.35</v>
        <stp/>
        <stp>AV_TRADE_PRICE</stp>
        <stp>AGEN</stp>
        <tr r="J7" s="2"/>
      </tp>
      <tp>
        <v>163.59</v>
        <stp/>
        <stp>LAST</stp>
        <stp>FB</stp>
        <tr r="C26" s="2"/>
      </tp>
      <tp>
        <v>42.796500000000002</v>
        <stp/>
        <stp>LAST</stp>
        <stp>MU</stp>
        <tr r="C32" s="2"/>
      </tp>
      <tp t="s">
        <v>-</v>
        <stp/>
        <stp>AV_TRADE_PRICE</stp>
        <stp>PAYC</stp>
        <tr r="J36" s="2"/>
      </tp>
      <tp>
        <v>170.72</v>
        <stp/>
        <stp>AV_TRADE_PRICE</stp>
        <stp>BABA</stp>
        <tr r="J18" s="2"/>
      </tp>
      <tp>
        <v>6.76</v>
        <stp/>
        <stp>AV_TRADE_PRICE</stp>
        <stp>ABEO</stp>
        <tr r="J2" s="2"/>
      </tp>
      <tp t="s">
        <v>-</v>
        <stp/>
        <stp>AV_TRADE_PRICE</stp>
        <stp>NBEV</stp>
        <tr r="J33" s="2"/>
      </tp>
      <tp t="s">
        <v>-</v>
        <stp/>
        <stp>AV_TRADE_PRICE</stp>
        <stp>UBNT</stp>
        <tr r="J39" s="2"/>
      </tp>
      <tp>
        <v>22.74</v>
        <stp/>
        <stp>AV_TRADE_PRICE</stp>
        <stp>ACAD</stp>
        <tr r="J3" s="2"/>
      </tp>
      <tp t="s">
        <v>-</v>
        <stp/>
        <stp>AV_TRADE_PRICE</stp>
        <stp>BLUE</stp>
        <tr r="J20" s="2"/>
      </tp>
      <tp>
        <v>304.18</v>
        <stp/>
        <stp>AV_TRADE_PRICE</stp>
        <stp>ULTA</stp>
        <tr r="J40" s="2"/>
      </tp>
      <tp t="s">
        <v>-0.17%</v>
        <stp/>
        <stp>PERCENT_CHANGE</stp>
        <stp>HRTX</stp>
        <tr r="F31" s="2"/>
      </tp>
      <tp>
        <v>14.29</v>
        <stp/>
        <stp>AV_TRADE_PRICE</stp>
        <stp>FLXN</stp>
        <tr r="J28" s="2"/>
      </tp>
      <tp t="s">
        <v>-4.29%</v>
        <stp/>
        <stp>PERCENT_CHANGE</stp>
        <stp>ARAV</stp>
        <tr r="F12" s="2"/>
      </tp>
      <tp t="s">
        <v>-</v>
        <stp/>
        <stp>AV_TRADE_PRICE</stp>
        <stp>ALGN</stp>
        <tr r="J10" s="2"/>
      </tp>
      <tp t="s">
        <v>-0.69%</v>
        <stp/>
        <stp>PERCENT_CHANGE</stp>
        <stp>CRBP</stp>
        <tr r="F23" s="2"/>
      </tp>
      <tp>
        <v>3.57</v>
        <stp/>
        <stp>AV_TRADE_PRICE</stp>
        <stp>BLCM</stp>
        <tr r="J19" s="2"/>
      </tp>
      <tp t="s">
        <v>-0.93%</v>
        <stp/>
        <stp>PERCENT_CHANGE</stp>
        <stp>DRNA</stp>
        <tr r="F25" s="2"/>
      </tp>
      <tp t="s">
        <v>-1.36%</v>
        <stp/>
        <stp>PERCENT_CHANGE</stp>
        <stp>ASND</stp>
        <tr r="F13" s="2"/>
      </tp>
      <tp>
        <v>117.26</v>
        <stp/>
        <stp>P_L_OPEN</stp>
        <stp>AYX</stp>
        <tr r="E17" s="2"/>
      </tp>
      <tp t="s">
        <v>+0.27%</v>
        <stp/>
        <stp>PERCENT_CHANGE</stp>
        <stp>CPRI</stp>
        <tr r="F22" s="2"/>
      </tp>
      <tp t="s">
        <v>-</v>
        <stp/>
        <stp>AV_TRADE_PRICE</stp>
        <stp>CNXM</stp>
        <tr r="J21" s="2"/>
      </tp>
      <tp>
        <v>0</v>
        <stp/>
        <stp>AV_TRADE_PRICE</stp>
        <stp>ANET</stp>
        <tr r="J11" s="2"/>
      </tp>
      <tp>
        <v>0.75</v>
        <stp/>
        <stp>NET_CHANGE</stp>
        <stp>FND</stp>
        <tr r="G29" s="2"/>
      </tp>
      <tp>
        <v>0.38129999999999997</v>
        <stp/>
        <stp>NET_CHANGE</stp>
        <stp>AYX</stp>
        <tr r="G17" s="2"/>
      </tp>
      <tp t="s">
        <v>+0.84%</v>
        <stp/>
        <stp>PERCENT_CHANGE</stp>
        <stp>AVXL</stp>
        <tr r="F16" s="2"/>
      </tp>
      <tp t="s">
        <v>+1.12%</v>
        <stp/>
        <stp>PERCENT_CHANGE</stp>
        <stp>NVDA</stp>
        <tr r="F35" s="2"/>
      </tp>
      <tp t="s">
        <v>-</v>
        <stp/>
        <stp>AV_TRADE_PRICE</stp>
        <stp>FIVE</stp>
        <tr r="J27" s="2"/>
      </tp>
      <tp t="s">
        <v>-0.74%</v>
        <stp/>
        <stp>PERCENT_CHANGE</stp>
        <stp>ATRA</stp>
        <tr r="F15" s="2"/>
      </tp>
      <tp t="s">
        <v>+2.44%</v>
        <stp/>
        <stp>PERCENT_CHANGE</stp>
        <stp>NTES</stp>
        <tr r="F34" s="2"/>
      </tp>
      <tp t="s">
        <v>+1.56%</v>
        <stp/>
        <stp>PERCENT_CHANGE</stp>
        <stp>ATHM</stp>
        <tr r="F14" s="2"/>
      </tp>
      <tp>
        <v>0</v>
        <stp/>
        <stp>P_L_OPEN</stp>
        <stp>FND</stp>
        <tr r="E29" s="2"/>
      </tp>
      <tp>
        <v>0</v>
        <stp/>
        <stp>AV_TRADE_PRICE</stp>
        <stp>AKBA</stp>
        <tr r="J9" s="2"/>
      </tp>
      <tp t="s">
        <v>-</v>
        <stp/>
        <stp>P_L_OPEN</stp>
        <stp>PAYC</stp>
        <tr r="E36" s="2"/>
      </tp>
      <tp>
        <v>129</v>
        <stp/>
        <stp>P_L_OPEN</stp>
        <stp>BABA</stp>
        <tr r="E18" s="2"/>
      </tp>
      <tp t="s">
        <v>-</v>
        <stp/>
        <stp>AV_TRADE_PRICE</stp>
        <stp>FB</stp>
        <tr r="J26" s="2"/>
      </tp>
      <tp t="s">
        <v>-</v>
        <stp/>
        <stp>AV_TRADE_PRICE</stp>
        <stp>MU</stp>
        <tr r="J32" s="2"/>
      </tp>
      <tp t="s">
        <v>-</v>
        <stp/>
        <stp>P_L_OPEN</stp>
        <stp>UBNT</stp>
        <tr r="E39" s="2"/>
      </tp>
      <tp>
        <v>-33</v>
        <stp/>
        <stp>P_L_OPEN</stp>
        <stp>ABEO</stp>
        <tr r="E2" s="2"/>
      </tp>
      <tp t="s">
        <v>-</v>
        <stp/>
        <stp>P_L_OPEN</stp>
        <stp>NBEV</stp>
        <tr r="E33" s="2"/>
      </tp>
      <tp>
        <v>89</v>
        <stp/>
        <stp>P_L_OPEN</stp>
        <stp>ACAD</stp>
        <tr r="E3" s="2"/>
      </tp>
      <tp>
        <v>0</v>
        <stp/>
        <stp>P_L_OPEN</stp>
        <stp>ADVM</stp>
        <tr r="E5" s="2"/>
      </tp>
      <tp>
        <v>0</v>
        <stp/>
        <stp>P_L_OPEN</stp>
        <stp>ADMA</stp>
        <tr r="E4" s="2"/>
      </tp>
      <tp>
        <v>-51</v>
        <stp/>
        <stp>P_L_OPEN</stp>
        <stp>AERI</stp>
        <tr r="E6" s="2"/>
      </tp>
      <tp>
        <v>0</v>
        <stp/>
        <stp>P_L_OPEN</stp>
        <stp>DERM</stp>
        <tr r="E24" s="2"/>
      </tp>
      <tp t="s">
        <v>-</v>
        <stp/>
        <stp>P_L_OPEN</stp>
        <stp>REGN</stp>
        <tr r="E37" s="2"/>
      </tp>
      <tp>
        <v>-7.5</v>
        <stp/>
        <stp>P_L_OPEN</stp>
        <stp>AGRX</stp>
        <tr r="E8" s="2"/>
      </tp>
      <tp>
        <v>-35</v>
        <stp/>
        <stp>P_L_OPEN</stp>
        <stp>AGEN</stp>
        <tr r="E7" s="2"/>
      </tp>
      <tp t="s">
        <v>-</v>
        <stp/>
        <stp>P_L_OPEN</stp>
        <stp>FIVE</stp>
        <tr r="E27" s="2"/>
      </tp>
      <tp>
        <v>0</v>
        <stp/>
        <stp>P_L_OPEN</stp>
        <stp>AKBA</stp>
        <tr r="E9" s="2"/>
      </tp>
      <tp t="s">
        <v>+1.99%</v>
        <stp/>
        <stp>PERCENT_CHANGE</stp>
        <stp>MU</stp>
        <tr r="F32" s="2"/>
      </tp>
      <tp t="s">
        <v>+0.80%</v>
        <stp/>
        <stp>PERCENT_CHANGE</stp>
        <stp>FB</stp>
        <tr r="F26" s="2"/>
      </tp>
      <tp>
        <v>64</v>
        <stp/>
        <stp>P_L_OPEN</stp>
        <stp>FLXN</stp>
        <tr r="E28" s="2"/>
      </tp>
      <tp t="s">
        <v>-</v>
        <stp/>
        <stp>P_L_OPEN</stp>
        <stp>BLUE</stp>
        <tr r="E20" s="2"/>
      </tp>
      <tp>
        <v>179.6</v>
        <stp/>
        <stp>P_L_OPEN</stp>
        <stp>ULTA</stp>
        <tr r="E40" s="2"/>
      </tp>
      <tp t="s">
        <v>-</v>
        <stp/>
        <stp>P_L_OPEN</stp>
        <stp>ALGN</stp>
        <tr r="E10" s="2"/>
      </tp>
      <tp>
        <v>-37</v>
        <stp/>
        <stp>P_L_OPEN</stp>
        <stp>BLCM</stp>
        <tr r="E19" s="2"/>
      </tp>
      <tp t="s">
        <v>-</v>
        <stp/>
        <stp>P_L_OPEN</stp>
        <stp>CNXM</stp>
        <tr r="E21" s="2"/>
      </tp>
      <tp t="s">
        <v>-</v>
        <stp/>
        <stp>P_L_OPEN</stp>
        <stp>GNMK</stp>
        <tr r="E30" s="2"/>
      </tp>
      <tp>
        <v>0</v>
        <stp/>
        <stp>P_L_OPEN</stp>
        <stp>ANET</stp>
        <tr r="E11" s="2"/>
      </tp>
      <tp t="s">
        <v>-</v>
        <stp/>
        <stp>P_L_OPEN</stp>
        <stp>CPRI</stp>
        <tr r="E22" s="2"/>
      </tp>
      <tp>
        <v>-95.34</v>
        <stp/>
        <stp>P_L_OPEN</stp>
        <stp>HRTX</stp>
        <tr r="E31" s="2"/>
      </tp>
      <tp>
        <v>-26</v>
        <stp/>
        <stp>P_L_OPEN</stp>
        <stp>DRNA</stp>
        <tr r="E25" s="2"/>
      </tp>
      <tp>
        <v>0</v>
        <stp/>
        <stp>P_L_OPEN</stp>
        <stp>CRBP</stp>
        <tr r="E23" s="2"/>
      </tp>
      <tp>
        <v>0</v>
        <stp/>
        <stp>P_L_OPEN</stp>
        <stp>ARAV</stp>
        <tr r="E12" s="2"/>
      </tp>
      <tp>
        <v>-219</v>
        <stp/>
        <stp>P_L_OPEN</stp>
        <stp>ASND</stp>
        <tr r="E13" s="2"/>
      </tp>
      <tp>
        <v>279</v>
        <stp/>
        <stp>P_L_OPEN</stp>
        <stp>ATRA</stp>
        <tr r="E15" s="2"/>
      </tp>
      <tp>
        <v>0</v>
        <stp/>
        <stp>P_L_OPEN</stp>
        <stp>ATHM</stp>
        <tr r="E14" s="2"/>
      </tp>
      <tp>
        <v>-1499</v>
        <stp/>
        <stp>P_L_OPEN</stp>
        <stp>NTES</stp>
        <tr r="E34" s="2"/>
      </tp>
      <tp>
        <v>0</v>
        <stp/>
        <stp>P_L_OPEN</stp>
        <stp>AVXL</stp>
        <tr r="E16" s="2"/>
      </tp>
      <tp t="s">
        <v>-</v>
        <stp/>
        <stp>P_L_OPEN</stp>
        <stp>NVDA</stp>
        <tr r="E35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722EC-DE88-4A13-9C14-4E2A82C5FDD7}">
  <dimension ref="A1:C4"/>
  <sheetViews>
    <sheetView showGridLines="0" workbookViewId="0">
      <selection sqref="A1:C4"/>
    </sheetView>
  </sheetViews>
  <sheetFormatPr defaultRowHeight="15" x14ac:dyDescent="0.25"/>
  <sheetData>
    <row r="1" spans="1:3" x14ac:dyDescent="0.25">
      <c r="A1">
        <v>3.63</v>
      </c>
      <c r="B1">
        <v>4.22</v>
      </c>
      <c r="C1" s="1">
        <f>(B1-A1)/A1</f>
        <v>0.16253443526170797</v>
      </c>
    </row>
    <row r="2" spans="1:3" x14ac:dyDescent="0.25">
      <c r="A2">
        <v>5000</v>
      </c>
      <c r="B2">
        <f>A2</f>
        <v>5000</v>
      </c>
    </row>
    <row r="3" spans="1:3" x14ac:dyDescent="0.25">
      <c r="A3">
        <f>A2*A1</f>
        <v>18150</v>
      </c>
      <c r="B3">
        <f>B2*B1</f>
        <v>21100</v>
      </c>
    </row>
    <row r="4" spans="1:3" x14ac:dyDescent="0.25">
      <c r="A4">
        <v>6.95</v>
      </c>
      <c r="B4">
        <f>B3-A4</f>
        <v>21093.05</v>
      </c>
      <c r="C4" s="1">
        <f>(B4-A3)/A3</f>
        <v>0.1621515151515151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BB5A-359F-4229-B126-D0F98C7E394B}">
  <dimension ref="A1:O40"/>
  <sheetViews>
    <sheetView showGridLines="0" tabSelected="1" workbookViewId="0">
      <selection activeCell="I29" sqref="I29"/>
    </sheetView>
  </sheetViews>
  <sheetFormatPr defaultRowHeight="15" x14ac:dyDescent="0.25"/>
  <cols>
    <col min="1" max="1" width="9.85546875" bestFit="1" customWidth="1"/>
    <col min="2" max="2" width="38.140625" bestFit="1" customWidth="1"/>
    <col min="3" max="3" width="8" bestFit="1" customWidth="1"/>
    <col min="4" max="4" width="8.140625" bestFit="1" customWidth="1"/>
    <col min="5" max="5" width="11.42578125" style="7" bestFit="1" customWidth="1"/>
    <col min="6" max="7" width="11.42578125" bestFit="1" customWidth="1"/>
    <col min="8" max="8" width="9.5703125" bestFit="1" customWidth="1"/>
    <col min="9" max="9" width="10" bestFit="1" customWidth="1"/>
    <col min="10" max="10" width="11.42578125" bestFit="1" customWidth="1"/>
    <col min="11" max="11" width="15.140625" bestFit="1" customWidth="1"/>
    <col min="12" max="12" width="12.140625" bestFit="1" customWidth="1"/>
    <col min="13" max="13" width="12.28515625" bestFit="1" customWidth="1"/>
    <col min="14" max="14" width="8.42578125" style="6" bestFit="1" customWidth="1"/>
    <col min="15" max="15" width="10.85546875" bestFit="1" customWidth="1"/>
  </cols>
  <sheetData>
    <row r="1" spans="1:15" s="2" customFormat="1" x14ac:dyDescent="0.25">
      <c r="A1" t="s">
        <v>0</v>
      </c>
      <c r="B1" t="s">
        <v>1</v>
      </c>
      <c r="C1" t="s">
        <v>2</v>
      </c>
      <c r="D1" t="s">
        <v>3</v>
      </c>
      <c r="E1" s="7" t="s">
        <v>4</v>
      </c>
      <c r="F1" t="s">
        <v>5</v>
      </c>
      <c r="G1" t="s">
        <v>6</v>
      </c>
      <c r="H1" t="s">
        <v>7</v>
      </c>
      <c r="I1" t="s">
        <v>39</v>
      </c>
      <c r="J1" t="s">
        <v>40</v>
      </c>
      <c r="K1" s="2" t="s">
        <v>44</v>
      </c>
      <c r="L1" s="2" t="s">
        <v>41</v>
      </c>
      <c r="M1" s="2" t="s">
        <v>42</v>
      </c>
      <c r="N1" s="5" t="s">
        <v>43</v>
      </c>
      <c r="O1" s="2" t="s">
        <v>45</v>
      </c>
    </row>
    <row r="2" spans="1:15" x14ac:dyDescent="0.25">
      <c r="A2" s="8" t="s">
        <v>10</v>
      </c>
      <c r="B2" t="str">
        <f>RTD("tos.rtd", , "DESCRIPTION", "ABEO")</f>
        <v>ABEONA THERAPEUTICS INC COM</v>
      </c>
      <c r="C2">
        <f>RTD("tos.rtd", , "LAST", "ABEO")</f>
        <v>6.7</v>
      </c>
      <c r="D2" t="str">
        <f>RTD("tos.rtd", , "P_L_PERCENT", "ABEO")</f>
        <v>-0.81%</v>
      </c>
      <c r="E2" s="7">
        <f>RTD("tos.rtd", , "P_L_OPEN", "ABEO")</f>
        <v>-33</v>
      </c>
      <c r="F2" t="str">
        <f>RTD("tos.rtd", , "PERCENT_CHANGE", "ABEO")</f>
        <v>+0.30%</v>
      </c>
      <c r="G2">
        <f>RTD("tos.rtd", , "NET_CHANGE", "ABEO")</f>
        <v>0.02</v>
      </c>
      <c r="H2">
        <f>RTD("tos.rtd", , "POSITION_N_L", "ABEO")</f>
        <v>4020</v>
      </c>
      <c r="I2">
        <f>RTD("tos.rtd", , "POSITION_QTY", "ABEO")</f>
        <v>600</v>
      </c>
      <c r="J2">
        <f>RTD("tos.rtd", , "AV_TRADE_PRICE", "ABEO")</f>
        <v>6.76</v>
      </c>
      <c r="K2">
        <v>4001</v>
      </c>
      <c r="L2" s="3">
        <f>IF(IFERROR((J2*I2-K2)/I2,"")&lt;0,0,IFERROR((J2*I2-K2)/I2,""))</f>
        <v>9.166666666666666E-2</v>
      </c>
      <c r="M2" s="4">
        <f>IFERROR(J2-L2,"")</f>
        <v>6.668333333333333</v>
      </c>
      <c r="N2" s="6">
        <f>IFERROR(ROUND(K2/M2,0),"")</f>
        <v>600</v>
      </c>
      <c r="O2" s="4">
        <f>IFERROR(N2-I2,"")</f>
        <v>0</v>
      </c>
    </row>
    <row r="3" spans="1:15" x14ac:dyDescent="0.25">
      <c r="A3" s="8" t="s">
        <v>22</v>
      </c>
      <c r="B3" t="str">
        <f>RTD("tos.rtd", , "DESCRIPTION", "ACAD")</f>
        <v>ACADIA PHARMACEUTICALS INC COM</v>
      </c>
      <c r="C3">
        <f>RTD("tos.rtd", , "LAST", "ACAD")</f>
        <v>23.18</v>
      </c>
      <c r="D3" t="str">
        <f>RTD("tos.rtd", , "P_L_PERCENT", "ACAD")</f>
        <v>1.96%</v>
      </c>
      <c r="E3" s="7">
        <f>RTD("tos.rtd", , "P_L_OPEN", "ACAD")</f>
        <v>89</v>
      </c>
      <c r="F3" t="str">
        <f>RTD("tos.rtd", , "PERCENT_CHANGE", "ACAD")</f>
        <v>+0.87%</v>
      </c>
      <c r="G3">
        <f>RTD("tos.rtd", , "NET_CHANGE", "ACAD")</f>
        <v>0.2</v>
      </c>
      <c r="H3">
        <f>RTD("tos.rtd", , "POSITION_N_L", "ACAD")</f>
        <v>4636</v>
      </c>
      <c r="I3">
        <f>RTD("tos.rtd", , "POSITION_QTY", "ACAD")</f>
        <v>200</v>
      </c>
      <c r="J3">
        <f>RTD("tos.rtd", , "AV_TRADE_PRICE", "ACAD")</f>
        <v>22.74</v>
      </c>
      <c r="K3">
        <v>4000</v>
      </c>
      <c r="L3" s="3">
        <f>IF(IFERROR((J3*I3-K3)/I3,"")&lt;0,0,IFERROR((J3*I3-K3)/I3,""))</f>
        <v>2.74</v>
      </c>
      <c r="M3" s="4">
        <f>IFERROR(J3-L3,"")</f>
        <v>20</v>
      </c>
      <c r="N3" s="6">
        <f>IFERROR(ROUND(K3/M3,0),"")</f>
        <v>200</v>
      </c>
      <c r="O3" s="4">
        <f>IFERROR(N3-I3,"")</f>
        <v>0</v>
      </c>
    </row>
    <row r="4" spans="1:15" x14ac:dyDescent="0.25">
      <c r="A4" s="8" t="s">
        <v>30</v>
      </c>
      <c r="B4" t="str">
        <f>RTD("tos.rtd", , "DESCRIPTION", "ADMA")</f>
        <v>ADMA BIOLOGICS INC COM</v>
      </c>
      <c r="C4">
        <f>RTD("tos.rtd", , "LAST", "ADMA")</f>
        <v>3.91</v>
      </c>
      <c r="D4" t="str">
        <f>RTD("tos.rtd", , "P_L_PERCENT", "ADMA")</f>
        <v>0.00%</v>
      </c>
      <c r="E4" s="7">
        <f>RTD("tos.rtd", , "P_L_OPEN", "ADMA")</f>
        <v>0</v>
      </c>
      <c r="F4" t="str">
        <f>RTD("tos.rtd", , "PERCENT_CHANGE", "ADMA")</f>
        <v>-2.37%</v>
      </c>
      <c r="G4">
        <f>RTD("tos.rtd", , "NET_CHANGE", "ADMA")</f>
        <v>-9.5000000000000001E-2</v>
      </c>
      <c r="H4">
        <f>RTD("tos.rtd", , "POSITION_N_L", "ADMA")</f>
        <v>0</v>
      </c>
      <c r="I4">
        <f>RTD("tos.rtd", , "POSITION_QTY", "ADMA")</f>
        <v>0</v>
      </c>
      <c r="J4">
        <f>RTD("tos.rtd", , "AV_TRADE_PRICE", "ADMA")</f>
        <v>0</v>
      </c>
      <c r="K4">
        <v>4000</v>
      </c>
      <c r="L4" s="3" t="str">
        <f>IF(IFERROR((J4*I4-K4)/I4,"")&lt;0,0,IFERROR((J4*I4-K4)/I4,""))</f>
        <v/>
      </c>
      <c r="M4" s="4" t="str">
        <f>IFERROR(J4-L4,"")</f>
        <v/>
      </c>
      <c r="N4" s="6" t="str">
        <f>IFERROR(ROUND(K4/M4,0),"")</f>
        <v/>
      </c>
      <c r="O4" s="4" t="str">
        <f>IFERROR(N4-I4,"")</f>
        <v/>
      </c>
    </row>
    <row r="5" spans="1:15" x14ac:dyDescent="0.25">
      <c r="A5" s="8" t="s">
        <v>29</v>
      </c>
      <c r="B5" t="str">
        <f>RTD("tos.rtd", , "DESCRIPTION", "ADVM")</f>
        <v>ADVERUM BIOTECHNOLOGIES INC COM</v>
      </c>
      <c r="C5">
        <f>RTD("tos.rtd", , "LAST", "ADVM")</f>
        <v>3.64</v>
      </c>
      <c r="D5" t="str">
        <f>RTD("tos.rtd", , "P_L_PERCENT", "ADVM")</f>
        <v>0.00%</v>
      </c>
      <c r="E5" s="7">
        <f>RTD("tos.rtd", , "P_L_OPEN", "ADVM")</f>
        <v>0</v>
      </c>
      <c r="F5" t="str">
        <f>RTD("tos.rtd", , "PERCENT_CHANGE", "ADVM")</f>
        <v>-1.36%</v>
      </c>
      <c r="G5">
        <f>RTD("tos.rtd", , "NET_CHANGE", "ADVM")</f>
        <v>-0.05</v>
      </c>
      <c r="H5">
        <f>RTD("tos.rtd", , "POSITION_N_L", "ADVM")</f>
        <v>0</v>
      </c>
      <c r="I5">
        <f>RTD("tos.rtd", , "POSITION_QTY", "ADVM")</f>
        <v>0</v>
      </c>
      <c r="J5">
        <f>RTD("tos.rtd", , "AV_TRADE_PRICE", "ADVM")</f>
        <v>0</v>
      </c>
      <c r="K5">
        <v>4000</v>
      </c>
      <c r="L5" s="3" t="str">
        <f>IF(IFERROR((J5*I5-K5)/I5,"")&lt;0,0,IFERROR((J5*I5-K5)/I5,""))</f>
        <v/>
      </c>
      <c r="M5" s="4" t="str">
        <f>IFERROR(J5-L5,"")</f>
        <v/>
      </c>
      <c r="N5" s="6" t="str">
        <f>IFERROR(ROUND(K5/M5,0),"")</f>
        <v/>
      </c>
      <c r="O5" s="4" t="str">
        <f>IFERROR(N5-I5,"")</f>
        <v/>
      </c>
    </row>
    <row r="6" spans="1:15" x14ac:dyDescent="0.25">
      <c r="A6" s="8" t="s">
        <v>17</v>
      </c>
      <c r="B6" t="str">
        <f>RTD("tos.rtd", , "DESCRIPTION", "AERI")</f>
        <v>AERIE PHARMACEUTICALS INC COM</v>
      </c>
      <c r="C6">
        <f>RTD("tos.rtd", , "LAST", "AERI")</f>
        <v>40.76</v>
      </c>
      <c r="D6" t="str">
        <f>RTD("tos.rtd", , "P_L_PERCENT", "AERI")</f>
        <v>-1.24%</v>
      </c>
      <c r="E6" s="7">
        <f>RTD("tos.rtd", , "P_L_OPEN", "AERI")</f>
        <v>-51</v>
      </c>
      <c r="F6" t="str">
        <f>RTD("tos.rtd", , "PERCENT_CHANGE", "AERI")</f>
        <v>-0.10%</v>
      </c>
      <c r="G6">
        <f>RTD("tos.rtd", , "NET_CHANGE", "AERI")</f>
        <v>-0.04</v>
      </c>
      <c r="H6">
        <f>RTD("tos.rtd", , "POSITION_N_L", "AERI")</f>
        <v>4076</v>
      </c>
      <c r="I6">
        <f>RTD("tos.rtd", , "POSITION_QTY", "AERI")</f>
        <v>100</v>
      </c>
      <c r="J6">
        <f>RTD("tos.rtd", , "AV_TRADE_PRICE", "AERI")</f>
        <v>41.27</v>
      </c>
      <c r="K6">
        <v>4002</v>
      </c>
      <c r="L6" s="3">
        <f>IF(IFERROR((J6*I6-K6)/I6,"")&lt;0,0,IFERROR((J6*I6-K6)/I6,""))</f>
        <v>1.25</v>
      </c>
      <c r="M6" s="4">
        <f>IFERROR(J6-L6,"")</f>
        <v>40.020000000000003</v>
      </c>
      <c r="N6" s="6">
        <f>IFERROR(ROUND(K6/M6,0),"")</f>
        <v>100</v>
      </c>
      <c r="O6" s="4">
        <f>IFERROR(N6-I6,"")</f>
        <v>0</v>
      </c>
    </row>
    <row r="7" spans="1:15" x14ac:dyDescent="0.25">
      <c r="A7" s="8" t="s">
        <v>20</v>
      </c>
      <c r="B7" t="str">
        <f>RTD("tos.rtd", , "DESCRIPTION", "AGEN")</f>
        <v>AGENUS INC COM</v>
      </c>
      <c r="C7">
        <f>RTD("tos.rtd", , "LAST", "AGEN")</f>
        <v>3.17</v>
      </c>
      <c r="D7" t="str">
        <f>RTD("tos.rtd", , "P_L_PERCENT", "AGEN")</f>
        <v>-5.23%</v>
      </c>
      <c r="E7" s="7">
        <f>RTD("tos.rtd", , "P_L_OPEN", "AGEN")</f>
        <v>-35</v>
      </c>
      <c r="F7" t="str">
        <f>RTD("tos.rtd", , "PERCENT_CHANGE", "AGEN")</f>
        <v>0.00%</v>
      </c>
      <c r="G7">
        <f>RTD("tos.rtd", , "NET_CHANGE", "AGEN")</f>
        <v>0</v>
      </c>
      <c r="H7">
        <f>RTD("tos.rtd", , "POSITION_N_L", "AGEN")</f>
        <v>634</v>
      </c>
      <c r="I7">
        <f>RTD("tos.rtd", , "POSITION_QTY", "AGEN")</f>
        <v>200</v>
      </c>
      <c r="J7">
        <f>RTD("tos.rtd", , "AV_TRADE_PRICE", "AGEN")</f>
        <v>3.35</v>
      </c>
      <c r="K7">
        <v>4006</v>
      </c>
      <c r="L7" s="3">
        <f>IF(IFERROR((J7*I7-K7)/I7,"")&lt;0,0,IFERROR((J7*I7-K7)/I7,""))</f>
        <v>0</v>
      </c>
      <c r="M7" s="4">
        <f>IFERROR(J7-L7,"")</f>
        <v>3.35</v>
      </c>
      <c r="N7" s="6">
        <f>IFERROR(ROUND(K7/M7,0),"")</f>
        <v>1196</v>
      </c>
      <c r="O7" s="4">
        <f>IFERROR(N7-I7,"")</f>
        <v>996</v>
      </c>
    </row>
    <row r="8" spans="1:15" x14ac:dyDescent="0.25">
      <c r="A8" s="8" t="s">
        <v>11</v>
      </c>
      <c r="B8" t="str">
        <f>RTD("tos.rtd", , "DESCRIPTION", "AGRX")</f>
        <v>AGILE THERAPEUTICS COM</v>
      </c>
      <c r="C8">
        <f>RTD("tos.rtd", , "LAST", "AGRX")</f>
        <v>1.02</v>
      </c>
      <c r="D8" t="str">
        <f>RTD("tos.rtd", , "P_L_PERCENT", "AGRX")</f>
        <v>-6.85%</v>
      </c>
      <c r="E8" s="7">
        <f>RTD("tos.rtd", , "P_L_OPEN", "AGRX")</f>
        <v>-7.5</v>
      </c>
      <c r="F8" t="str">
        <f>RTD("tos.rtd", , "PERCENT_CHANGE", "AGRX")</f>
        <v>-0.97%</v>
      </c>
      <c r="G8">
        <f>RTD("tos.rtd", , "NET_CHANGE", "AGRX")</f>
        <v>-0.01</v>
      </c>
      <c r="H8">
        <f>RTD("tos.rtd", , "POSITION_N_L", "AGRX")</f>
        <v>102</v>
      </c>
      <c r="I8">
        <f>RTD("tos.rtd", , "POSITION_QTY", "AGRX")</f>
        <v>100</v>
      </c>
      <c r="J8">
        <f>RTD("tos.rtd", , "AV_TRADE_PRICE", "AGRX")</f>
        <v>1.1000000000000001</v>
      </c>
      <c r="K8">
        <v>4007</v>
      </c>
      <c r="L8" s="3">
        <f>IF(IFERROR((J8*I8-K8)/I8,"")&lt;0,0,IFERROR((J8*I8-K8)/I8,""))</f>
        <v>0</v>
      </c>
      <c r="M8" s="4">
        <f>IFERROR(J8-L8,"")</f>
        <v>1.1000000000000001</v>
      </c>
      <c r="N8" s="6">
        <f>IFERROR(ROUND(K8/M8,0),"")</f>
        <v>3643</v>
      </c>
      <c r="O8" s="4">
        <f>IFERROR(N8-I8,"")</f>
        <v>3543</v>
      </c>
    </row>
    <row r="9" spans="1:15" x14ac:dyDescent="0.25">
      <c r="A9" s="8" t="s">
        <v>27</v>
      </c>
      <c r="B9" t="str">
        <f>RTD("tos.rtd", , "DESCRIPTION", "AKBA")</f>
        <v>AKEBIA THERAPEUTICS INC COM</v>
      </c>
      <c r="C9">
        <f>RTD("tos.rtd", , "LAST", "AKBA")</f>
        <v>6.6002000000000001</v>
      </c>
      <c r="D9" t="str">
        <f>RTD("tos.rtd", , "P_L_PERCENT", "AKBA")</f>
        <v>0.00%</v>
      </c>
      <c r="E9" s="7">
        <f>RTD("tos.rtd", , "P_L_OPEN", "AKBA")</f>
        <v>0</v>
      </c>
      <c r="F9" t="str">
        <f>RTD("tos.rtd", , "PERCENT_CHANGE", "AKBA")</f>
        <v>+0.77%</v>
      </c>
      <c r="G9">
        <f>RTD("tos.rtd", , "NET_CHANGE", "AKBA")</f>
        <v>5.0200000000000002E-2</v>
      </c>
      <c r="H9">
        <f>RTD("tos.rtd", , "POSITION_N_L", "AKBA")</f>
        <v>0</v>
      </c>
      <c r="I9">
        <f>RTD("tos.rtd", , "POSITION_QTY", "AKBA")</f>
        <v>0</v>
      </c>
      <c r="J9">
        <f>RTD("tos.rtd", , "AV_TRADE_PRICE", "AKBA")</f>
        <v>0</v>
      </c>
      <c r="K9">
        <v>4000</v>
      </c>
      <c r="L9" s="3" t="str">
        <f>IF(IFERROR((J9*I9-K9)/I9,"")&lt;0,0,IFERROR((J9*I9-K9)/I9,""))</f>
        <v/>
      </c>
      <c r="M9" s="4" t="str">
        <f>IFERROR(J9-L9,"")</f>
        <v/>
      </c>
      <c r="N9" s="6" t="str">
        <f>IFERROR(ROUND(K9/M9,0),"")</f>
        <v/>
      </c>
      <c r="O9" s="4" t="str">
        <f>IFERROR(N9-I9,"")</f>
        <v/>
      </c>
    </row>
    <row r="10" spans="1:15" x14ac:dyDescent="0.25">
      <c r="A10" s="8" t="s">
        <v>31</v>
      </c>
      <c r="B10" t="str">
        <f>RTD("tos.rtd", , "DESCRIPTION", "ALGN")</f>
        <v>ALIGN TECHNOLOGY INC COM</v>
      </c>
      <c r="C10">
        <f>RTD("tos.rtd", , "LAST", "ALGN")</f>
        <v>252.56</v>
      </c>
      <c r="D10" t="str">
        <f>RTD("tos.rtd", , "P_L_PERCENT", "ALGN")</f>
        <v>-</v>
      </c>
      <c r="E10" s="7" t="str">
        <f>RTD("tos.rtd", , "P_L_OPEN", "ALGN")</f>
        <v>-</v>
      </c>
      <c r="F10" t="str">
        <f>RTD("tos.rtd", , "PERCENT_CHANGE", "ALGN")</f>
        <v>-1.05%</v>
      </c>
      <c r="G10">
        <f>RTD("tos.rtd", , "NET_CHANGE", "ALGN")</f>
        <v>-2.68</v>
      </c>
      <c r="H10" t="str">
        <f>RTD("tos.rtd", , "POSITION_N_L", "ALGN")</f>
        <v>-</v>
      </c>
      <c r="I10" t="str">
        <f>RTD("tos.rtd", , "POSITION_QTY", "ALGN")</f>
        <v>-</v>
      </c>
      <c r="J10" t="str">
        <f>RTD("tos.rtd", , "AV_TRADE_PRICE", "ALGN")</f>
        <v>-</v>
      </c>
      <c r="K10">
        <v>4000</v>
      </c>
      <c r="L10" s="3" t="str">
        <f>IF(IFERROR((J10*I10-K10)/I10,"")&lt;0,0,IFERROR((J10*I10-K10)/I10,""))</f>
        <v/>
      </c>
      <c r="M10" s="4" t="str">
        <f>IFERROR(J10-L10,"")</f>
        <v/>
      </c>
      <c r="N10" s="6" t="str">
        <f>IFERROR(ROUND(K10/M10,0),"")</f>
        <v/>
      </c>
      <c r="O10" s="4" t="str">
        <f>IFERROR(N10-I10,"")</f>
        <v/>
      </c>
    </row>
    <row r="11" spans="1:15" x14ac:dyDescent="0.25">
      <c r="A11" s="8" t="s">
        <v>12</v>
      </c>
      <c r="B11" t="str">
        <f>RTD("tos.rtd", , "DESCRIPTION", "ANET")</f>
        <v>ARISTA NETWORKS INC COM</v>
      </c>
      <c r="C11">
        <f>RTD("tos.rtd", , "LAST", "ANET")</f>
        <v>272.5258</v>
      </c>
      <c r="D11" t="str">
        <f>RTD("tos.rtd", , "P_L_PERCENT", "ANET")</f>
        <v>0.00%</v>
      </c>
      <c r="E11" s="7">
        <f>RTD("tos.rtd", , "P_L_OPEN", "ANET")</f>
        <v>0</v>
      </c>
      <c r="F11" t="str">
        <f>RTD("tos.rtd", , "PERCENT_CHANGE", "ANET")</f>
        <v>+1.09%</v>
      </c>
      <c r="G11">
        <f>RTD("tos.rtd", , "NET_CHANGE", "ANET")</f>
        <v>2.9458000000000002</v>
      </c>
      <c r="H11">
        <f>RTD("tos.rtd", , "POSITION_N_L", "ANET")</f>
        <v>0</v>
      </c>
      <c r="I11">
        <f>RTD("tos.rtd", , "POSITION_QTY", "ANET")</f>
        <v>0</v>
      </c>
      <c r="J11">
        <f>RTD("tos.rtd", , "AV_TRADE_PRICE", "ANET")</f>
        <v>0</v>
      </c>
      <c r="K11">
        <v>4000</v>
      </c>
      <c r="L11" s="3" t="str">
        <f>IF(IFERROR((J11*I11-K11)/I11,"")&lt;0,0,IFERROR((J11*I11-K11)/I11,""))</f>
        <v/>
      </c>
      <c r="M11" s="4" t="str">
        <f>IFERROR(J11-L11,"")</f>
        <v/>
      </c>
      <c r="N11" s="6" t="str">
        <f>IFERROR(ROUND(K11/M11,0),"")</f>
        <v/>
      </c>
      <c r="O11" s="4" t="str">
        <f>IFERROR(N11-I11,"")</f>
        <v/>
      </c>
    </row>
    <row r="12" spans="1:15" x14ac:dyDescent="0.25">
      <c r="A12" s="8" t="s">
        <v>15</v>
      </c>
      <c r="B12" t="str">
        <f>RTD("tos.rtd", , "DESCRIPTION", "ARAV")</f>
        <v>ARAVIVE INC COM</v>
      </c>
      <c r="C12">
        <f>RTD("tos.rtd", , "LAST", "ARAV")</f>
        <v>5.0250000000000004</v>
      </c>
      <c r="D12" t="str">
        <f>RTD("tos.rtd", , "P_L_PERCENT", "ARAV")</f>
        <v>0.00%</v>
      </c>
      <c r="E12" s="7">
        <f>RTD("tos.rtd", , "P_L_OPEN", "ARAV")</f>
        <v>0</v>
      </c>
      <c r="F12" t="str">
        <f>RTD("tos.rtd", , "PERCENT_CHANGE", "ARAV")</f>
        <v>-4.29%</v>
      </c>
      <c r="G12">
        <f>RTD("tos.rtd", , "NET_CHANGE", "ARAV")</f>
        <v>-0.22500000000000001</v>
      </c>
      <c r="H12">
        <f>RTD("tos.rtd", , "POSITION_N_L", "ARAV")</f>
        <v>0</v>
      </c>
      <c r="I12">
        <f>RTD("tos.rtd", , "POSITION_QTY", "ARAV")</f>
        <v>0</v>
      </c>
      <c r="J12">
        <f>RTD("tos.rtd", , "AV_TRADE_PRICE", "ARAV")</f>
        <v>0</v>
      </c>
      <c r="K12">
        <v>4000</v>
      </c>
      <c r="L12" s="3" t="str">
        <f>IF(IFERROR((J12*I12-K12)/I12,"")&lt;0,0,IFERROR((J12*I12-K12)/I12,""))</f>
        <v/>
      </c>
      <c r="M12" s="4" t="str">
        <f>IFERROR(J12-L12,"")</f>
        <v/>
      </c>
      <c r="N12" s="6" t="str">
        <f>IFERROR(ROUND(K12/M12,0),"")</f>
        <v/>
      </c>
      <c r="O12" s="4" t="str">
        <f>IFERROR(N12-I12,"")</f>
        <v/>
      </c>
    </row>
    <row r="13" spans="1:15" x14ac:dyDescent="0.25">
      <c r="A13" s="8" t="s">
        <v>24</v>
      </c>
      <c r="B13" t="str">
        <f>RTD("tos.rtd", , "DESCRIPTION", "ASND")</f>
        <v>ASCENDIS PHARMA A/S ADR</v>
      </c>
      <c r="C13">
        <f>RTD("tos.rtd", , "LAST", "ASND")</f>
        <v>70.239999999999995</v>
      </c>
      <c r="D13" t="str">
        <f>RTD("tos.rtd", , "P_L_PERCENT", "ASND")</f>
        <v>-1.54%</v>
      </c>
      <c r="E13" s="7">
        <f>RTD("tos.rtd", , "P_L_OPEN", "ASND")</f>
        <v>-219</v>
      </c>
      <c r="F13" t="str">
        <f>RTD("tos.rtd", , "PERCENT_CHANGE", "ASND")</f>
        <v>-1.36%</v>
      </c>
      <c r="G13">
        <f>RTD("tos.rtd", , "NET_CHANGE", "ASND")</f>
        <v>-0.97</v>
      </c>
      <c r="H13">
        <f>RTD("tos.rtd", , "POSITION_N_L", "ASND")</f>
        <v>14048</v>
      </c>
      <c r="I13">
        <f>RTD("tos.rtd", , "POSITION_QTY", "ASND")</f>
        <v>200</v>
      </c>
      <c r="J13">
        <f>RTD("tos.rtd", , "AV_TRADE_PRICE", "ASND")</f>
        <v>71.33</v>
      </c>
      <c r="K13">
        <v>4000</v>
      </c>
      <c r="L13" s="3">
        <f>IF(IFERROR((J13*I13-K13)/I13,"")&lt;0,0,IFERROR((J13*I13-K13)/I13,""))</f>
        <v>51.33</v>
      </c>
      <c r="M13" s="4">
        <f>IFERROR(J13-L13,"")</f>
        <v>20</v>
      </c>
      <c r="N13" s="6">
        <f>IFERROR(ROUND(K13/M13,0),"")</f>
        <v>200</v>
      </c>
      <c r="O13" s="4">
        <f>IFERROR(N13-I13,"")</f>
        <v>0</v>
      </c>
    </row>
    <row r="14" spans="1:15" x14ac:dyDescent="0.25">
      <c r="A14" s="8" t="s">
        <v>21</v>
      </c>
      <c r="B14" t="str">
        <f>RTD("tos.rtd", , "DESCRIPTION", "ATHM")</f>
        <v>AUTOHOME INC ADR</v>
      </c>
      <c r="C14">
        <f>RTD("tos.rtd", , "LAST", "ATHM")</f>
        <v>80.484999999999999</v>
      </c>
      <c r="D14" t="str">
        <f>RTD("tos.rtd", , "P_L_PERCENT", "ATHM")</f>
        <v>0.00%</v>
      </c>
      <c r="E14" s="7">
        <f>RTD("tos.rtd", , "P_L_OPEN", "ATHM")</f>
        <v>0</v>
      </c>
      <c r="F14" t="str">
        <f>RTD("tos.rtd", , "PERCENT_CHANGE", "ATHM")</f>
        <v>+1.56%</v>
      </c>
      <c r="G14">
        <f>RTD("tos.rtd", , "NET_CHANGE", "ATHM")</f>
        <v>1.2350000000000001</v>
      </c>
      <c r="H14">
        <f>RTD("tos.rtd", , "POSITION_N_L", "ATHM")</f>
        <v>0</v>
      </c>
      <c r="I14">
        <f>RTD("tos.rtd", , "POSITION_QTY", "ATHM")</f>
        <v>0</v>
      </c>
      <c r="J14">
        <f>RTD("tos.rtd", , "AV_TRADE_PRICE", "ATHM")</f>
        <v>0</v>
      </c>
      <c r="K14">
        <v>4000</v>
      </c>
      <c r="L14" s="3" t="str">
        <f>IF(IFERROR((J14*I14-K14)/I14,"")&lt;0,0,IFERROR((J14*I14-K14)/I14,""))</f>
        <v/>
      </c>
      <c r="M14" s="4" t="str">
        <f>IFERROR(J14-L14,"")</f>
        <v/>
      </c>
      <c r="N14" s="6" t="str">
        <f>IFERROR(ROUND(K14/M14,0),"")</f>
        <v/>
      </c>
      <c r="O14" s="4" t="str">
        <f>IFERROR(N14-I14,"")</f>
        <v/>
      </c>
    </row>
    <row r="15" spans="1:15" x14ac:dyDescent="0.25">
      <c r="A15" s="8" t="s">
        <v>26</v>
      </c>
      <c r="B15" t="str">
        <f>RTD("tos.rtd", , "DESCRIPTION", "ATRA")</f>
        <v>ATARA BIOTHERAPEUTICS INC COM</v>
      </c>
      <c r="C15">
        <f>RTD("tos.rtd", , "LAST", "ATRA")</f>
        <v>39.97</v>
      </c>
      <c r="D15" t="str">
        <f>RTD("tos.rtd", , "P_L_PERCENT", "ATRA")</f>
        <v>3.62%</v>
      </c>
      <c r="E15" s="7">
        <f>RTD("tos.rtd", , "P_L_OPEN", "ATRA")</f>
        <v>279</v>
      </c>
      <c r="F15" t="str">
        <f>RTD("tos.rtd", , "PERCENT_CHANGE", "ATRA")</f>
        <v>-0.74%</v>
      </c>
      <c r="G15">
        <f>RTD("tos.rtd", , "NET_CHANGE", "ATRA")</f>
        <v>-0.3</v>
      </c>
      <c r="H15">
        <f>RTD("tos.rtd", , "POSITION_N_L", "ATRA")</f>
        <v>7994</v>
      </c>
      <c r="I15">
        <f>RTD("tos.rtd", , "POSITION_QTY", "ATRA")</f>
        <v>200</v>
      </c>
      <c r="J15">
        <f>RTD("tos.rtd", , "AV_TRADE_PRICE", "ATRA")</f>
        <v>38.58</v>
      </c>
      <c r="K15">
        <v>4000</v>
      </c>
      <c r="L15" s="3">
        <f>IF(IFERROR((J15*I15-K15)/I15,"")&lt;0,0,IFERROR((J15*I15-K15)/I15,""))</f>
        <v>18.579999999999998</v>
      </c>
      <c r="M15" s="4">
        <f>IFERROR(J15-L15,"")</f>
        <v>20</v>
      </c>
      <c r="N15" s="6">
        <f>IFERROR(ROUND(K15/M15,0),"")</f>
        <v>200</v>
      </c>
      <c r="O15" s="4">
        <f>IFERROR(N15-I15,"")</f>
        <v>0</v>
      </c>
    </row>
    <row r="16" spans="1:15" x14ac:dyDescent="0.25">
      <c r="A16" s="8" t="s">
        <v>14</v>
      </c>
      <c r="B16" t="str">
        <f>RTD("tos.rtd", , "DESCRIPTION", "AVXL")</f>
        <v>ANAVEX LIFE SCIENC COM</v>
      </c>
      <c r="C16">
        <f>RTD("tos.rtd", , "LAST", "AVXL")</f>
        <v>2.4201000000000001</v>
      </c>
      <c r="D16" t="str">
        <f>RTD("tos.rtd", , "P_L_PERCENT", "AVXL")</f>
        <v>0.00%</v>
      </c>
      <c r="E16" s="7">
        <f>RTD("tos.rtd", , "P_L_OPEN", "AVXL")</f>
        <v>0</v>
      </c>
      <c r="F16" t="str">
        <f>RTD("tos.rtd", , "PERCENT_CHANGE", "AVXL")</f>
        <v>+0.84%</v>
      </c>
      <c r="G16">
        <f>RTD("tos.rtd", , "NET_CHANGE", "AVXL")</f>
        <v>2.01E-2</v>
      </c>
      <c r="H16">
        <f>RTD("tos.rtd", , "POSITION_N_L", "AVXL")</f>
        <v>0</v>
      </c>
      <c r="I16">
        <f>RTD("tos.rtd", , "POSITION_QTY", "AVXL")</f>
        <v>0</v>
      </c>
      <c r="J16">
        <f>RTD("tos.rtd", , "AV_TRADE_PRICE", "AVXL")</f>
        <v>0</v>
      </c>
      <c r="K16">
        <v>4000</v>
      </c>
      <c r="L16" s="3" t="str">
        <f>IF(IFERROR((J16*I16-K16)/I16,"")&lt;0,0,IFERROR((J16*I16-K16)/I16,""))</f>
        <v/>
      </c>
      <c r="M16" s="4" t="str">
        <f>IFERROR(J16-L16,"")</f>
        <v/>
      </c>
      <c r="N16" s="6" t="str">
        <f>IFERROR(ROUND(K16/M16,0),"")</f>
        <v/>
      </c>
      <c r="O16" s="4" t="str">
        <f>IFERROR(N16-I16,"")</f>
        <v/>
      </c>
    </row>
    <row r="17" spans="1:15" x14ac:dyDescent="0.25">
      <c r="A17" s="8" t="s">
        <v>18</v>
      </c>
      <c r="B17" t="str">
        <f>RTD("tos.rtd", , "DESCRIPTION", "AYX")</f>
        <v>ALTERYX INC COM CL A</v>
      </c>
      <c r="C17">
        <f>RTD("tos.rtd", , "LAST", "AYX")</f>
        <v>71.721299999999999</v>
      </c>
      <c r="D17" t="str">
        <f>RTD("tos.rtd", , "P_L_PERCENT", "AYX")</f>
        <v>0.82%</v>
      </c>
      <c r="E17" s="7">
        <f>RTD("tos.rtd", , "P_L_OPEN", "AYX")</f>
        <v>117.26</v>
      </c>
      <c r="F17" t="str">
        <f>RTD("tos.rtd", , "PERCENT_CHANGE", "AYX")</f>
        <v>+0.53%</v>
      </c>
      <c r="G17">
        <f>RTD("tos.rtd", , "NET_CHANGE", "AYX")</f>
        <v>0.38129999999999997</v>
      </c>
      <c r="H17">
        <f>RTD("tos.rtd", , "POSITION_N_L", "AYX")</f>
        <v>14344.26</v>
      </c>
      <c r="I17">
        <f>RTD("tos.rtd", , "POSITION_QTY", "AYX")</f>
        <v>200</v>
      </c>
      <c r="J17">
        <f>RTD("tos.rtd", , "AV_TRADE_PRICE", "AYX")</f>
        <v>71.14</v>
      </c>
      <c r="K17">
        <v>4000</v>
      </c>
      <c r="L17" s="3">
        <f>IF(IFERROR((J17*I17-K17)/I17,"")&lt;0,0,IFERROR((J17*I17-K17)/I17,""))</f>
        <v>51.14</v>
      </c>
      <c r="M17" s="4">
        <f>IFERROR(J17-L17,"")</f>
        <v>20</v>
      </c>
      <c r="N17" s="6">
        <f>IFERROR(ROUND(K17/M17,0),"")</f>
        <v>200</v>
      </c>
      <c r="O17" s="4">
        <f>IFERROR(N17-I17,"")</f>
        <v>0</v>
      </c>
    </row>
    <row r="18" spans="1:15" x14ac:dyDescent="0.25">
      <c r="A18" s="8" t="s">
        <v>32</v>
      </c>
      <c r="B18" t="str">
        <f>RTD("tos.rtd", , "DESCRIPTION", "BABA")</f>
        <v>ALIBABA GROUP HOLDING LTD ADR</v>
      </c>
      <c r="C18">
        <f>RTD("tos.rtd", , "LAST", "BABA")</f>
        <v>172.01</v>
      </c>
      <c r="D18" t="str">
        <f>RTD("tos.rtd", , "P_L_PERCENT", "BABA")</f>
        <v>0.76%</v>
      </c>
      <c r="E18" s="7">
        <f>RTD("tos.rtd", , "P_L_OPEN", "BABA")</f>
        <v>129</v>
      </c>
      <c r="F18" t="str">
        <f>RTD("tos.rtd", , "PERCENT_CHANGE", "BABA")</f>
        <v>+1.08%</v>
      </c>
      <c r="G18">
        <f>RTD("tos.rtd", , "NET_CHANGE", "BABA")</f>
        <v>1.83</v>
      </c>
      <c r="H18">
        <f>RTD("tos.rtd", , "POSITION_N_L", "BABA")</f>
        <v>17201</v>
      </c>
      <c r="I18">
        <f>RTD("tos.rtd", , "POSITION_QTY", "BABA")</f>
        <v>100</v>
      </c>
      <c r="J18">
        <f>RTD("tos.rtd", , "AV_TRADE_PRICE", "BABA")</f>
        <v>170.72</v>
      </c>
      <c r="K18">
        <v>4000</v>
      </c>
      <c r="L18" s="3">
        <f>IF(IFERROR((J18*I18-K18)/I18,"")&lt;0,0,IFERROR((J18*I18-K18)/I18,""))</f>
        <v>130.72</v>
      </c>
      <c r="M18" s="4">
        <f>IFERROR(J18-L18,"")</f>
        <v>40</v>
      </c>
      <c r="N18" s="6">
        <f>IFERROR(ROUND(K18/M18,0),"")</f>
        <v>100</v>
      </c>
      <c r="O18" s="4">
        <f>IFERROR(N18-I18,"")</f>
        <v>0</v>
      </c>
    </row>
    <row r="19" spans="1:15" x14ac:dyDescent="0.25">
      <c r="A19" s="8" t="s">
        <v>8</v>
      </c>
      <c r="B19" t="str">
        <f>RTD("tos.rtd", , "DESCRIPTION", "BLCM")</f>
        <v>BELLICUM PHARMACEUTICALS COM</v>
      </c>
      <c r="C19">
        <f>RTD("tos.rtd", , "LAST", "BLCM")</f>
        <v>3.2</v>
      </c>
      <c r="D19" t="str">
        <f>RTD("tos.rtd", , "P_L_PERCENT", "BLCM")</f>
        <v>-10.36%</v>
      </c>
      <c r="E19" s="7">
        <f>RTD("tos.rtd", , "P_L_OPEN", "BLCM")</f>
        <v>-37</v>
      </c>
      <c r="F19" t="str">
        <f>RTD("tos.rtd", , "PERCENT_CHANGE", "BLCM")</f>
        <v>+1.91%</v>
      </c>
      <c r="G19">
        <f>RTD("tos.rtd", , "NET_CHANGE", "BLCM")</f>
        <v>0.06</v>
      </c>
      <c r="H19">
        <f>RTD("tos.rtd", , "POSITION_N_L", "BLCM")</f>
        <v>320</v>
      </c>
      <c r="I19">
        <f>RTD("tos.rtd", , "POSITION_QTY", "BLCM")</f>
        <v>100</v>
      </c>
      <c r="J19">
        <f>RTD("tos.rtd", , "AV_TRADE_PRICE", "BLCM")</f>
        <v>3.57</v>
      </c>
      <c r="K19">
        <v>4008</v>
      </c>
      <c r="L19" s="3">
        <f>IF(IFERROR((J19*I19-K19)/I19,"")&lt;0,0,IFERROR((J19*I19-K19)/I19,""))</f>
        <v>0</v>
      </c>
      <c r="M19" s="4">
        <f>IFERROR(J19-L19,"")</f>
        <v>3.57</v>
      </c>
      <c r="N19" s="6">
        <f>IFERROR(ROUND(K19/M19,0),"")</f>
        <v>1123</v>
      </c>
      <c r="O19" s="4">
        <f>IFERROR(N19-I19,"")</f>
        <v>1023</v>
      </c>
    </row>
    <row r="20" spans="1:15" x14ac:dyDescent="0.25">
      <c r="A20" s="8" t="s">
        <v>33</v>
      </c>
      <c r="B20" t="str">
        <f>RTD("tos.rtd", , "DESCRIPTION", "BLUE")</f>
        <v>BLUEBIRD BIO INC COM</v>
      </c>
      <c r="C20">
        <f>RTD("tos.rtd", , "LAST", "BLUE")</f>
        <v>135.74</v>
      </c>
      <c r="D20" t="str">
        <f>RTD("tos.rtd", , "P_L_PERCENT", "BLUE")</f>
        <v>-</v>
      </c>
      <c r="E20" s="7" t="str">
        <f>RTD("tos.rtd", , "P_L_OPEN", "BLUE")</f>
        <v>-</v>
      </c>
      <c r="F20" t="str">
        <f>RTD("tos.rtd", , "PERCENT_CHANGE", "BLUE")</f>
        <v>+0.10%</v>
      </c>
      <c r="G20">
        <f>RTD("tos.rtd", , "NET_CHANGE", "BLUE")</f>
        <v>0.13</v>
      </c>
      <c r="H20" t="str">
        <f>RTD("tos.rtd", , "POSITION_N_L", "BLUE")</f>
        <v>-</v>
      </c>
      <c r="I20" t="str">
        <f>RTD("tos.rtd", , "POSITION_QTY", "BLUE")</f>
        <v>-</v>
      </c>
      <c r="J20" t="str">
        <f>RTD("tos.rtd", , "AV_TRADE_PRICE", "BLUE")</f>
        <v>-</v>
      </c>
      <c r="K20">
        <v>4000</v>
      </c>
      <c r="L20" s="3" t="str">
        <f>IF(IFERROR((J20*I20-K20)/I20,"")&lt;0,0,IFERROR((J20*I20-K20)/I20,""))</f>
        <v/>
      </c>
      <c r="M20" s="4" t="str">
        <f>IFERROR(J20-L20,"")</f>
        <v/>
      </c>
      <c r="N20" s="6" t="str">
        <f>IFERROR(ROUND(K20/M20,0),"")</f>
        <v/>
      </c>
      <c r="O20" s="4" t="str">
        <f>IFERROR(N20-I20,"")</f>
        <v/>
      </c>
    </row>
    <row r="21" spans="1:15" x14ac:dyDescent="0.25">
      <c r="A21" s="8" t="s">
        <v>52</v>
      </c>
      <c r="B21" t="str">
        <f>RTD("tos.rtd", , "DESCRIPTION", "CNXM")</f>
        <v>CNX MIDSTREAM PARTNERS LP COM UNIT REPST</v>
      </c>
      <c r="C21">
        <f>RTD("tos.rtd", , "LAST", "CNXM")</f>
        <v>16.059699999999999</v>
      </c>
      <c r="D21" t="str">
        <f>RTD("tos.rtd", , "P_L_PERCENT", "CNXM")</f>
        <v>-</v>
      </c>
      <c r="E21" s="7" t="str">
        <f>RTD("tos.rtd", , "P_L_OPEN", "CNXM")</f>
        <v>-</v>
      </c>
      <c r="F21" t="str">
        <f>RTD("tos.rtd", , "PERCENT_CHANGE", "CNXM")</f>
        <v>+0.06%</v>
      </c>
      <c r="G21">
        <f>RTD("tos.rtd", , "NET_CHANGE", "CNXM")</f>
        <v>9.7000000000000003E-3</v>
      </c>
      <c r="H21" t="str">
        <f>RTD("tos.rtd", , "POSITION_N_L", "CNXM")</f>
        <v>-</v>
      </c>
      <c r="I21" t="str">
        <f>RTD("tos.rtd", , "POSITION_QTY", "CNXM")</f>
        <v>-</v>
      </c>
      <c r="J21" t="str">
        <f>RTD("tos.rtd", , "AV_TRADE_PRICE", "CNXM")</f>
        <v>-</v>
      </c>
      <c r="K21">
        <v>4000</v>
      </c>
      <c r="L21" s="3" t="str">
        <f>IF(IFERROR((J21*I21-K21)/I21,"")&lt;0,0,IFERROR((J21*I21-K21)/I21,""))</f>
        <v/>
      </c>
      <c r="M21" s="4" t="str">
        <f>IFERROR(J21-L21,"")</f>
        <v/>
      </c>
      <c r="N21" s="6" t="str">
        <f>IFERROR(ROUND(K21/M21,0),"")</f>
        <v/>
      </c>
      <c r="O21" s="4" t="str">
        <f>IFERROR(N21-I21,"")</f>
        <v/>
      </c>
    </row>
    <row r="22" spans="1:15" x14ac:dyDescent="0.25">
      <c r="A22" s="8" t="s">
        <v>37</v>
      </c>
      <c r="B22" t="str">
        <f>RTD("tos.rtd", , "DESCRIPTION", "CPRI")</f>
        <v>CAPRI HOLDINGS LTD COM</v>
      </c>
      <c r="C22">
        <f>RTD("tos.rtd", , "LAST", "CPRI")</f>
        <v>44.15</v>
      </c>
      <c r="D22" t="str">
        <f>RTD("tos.rtd", , "P_L_PERCENT", "CPRI")</f>
        <v>-</v>
      </c>
      <c r="E22" s="7" t="str">
        <f>RTD("tos.rtd", , "P_L_OPEN", "CPRI")</f>
        <v>-</v>
      </c>
      <c r="F22" t="str">
        <f>RTD("tos.rtd", , "PERCENT_CHANGE", "CPRI")</f>
        <v>+0.27%</v>
      </c>
      <c r="G22">
        <f>RTD("tos.rtd", , "NET_CHANGE", "CPRI")</f>
        <v>0.12</v>
      </c>
      <c r="H22" t="str">
        <f>RTD("tos.rtd", , "POSITION_N_L", "CPRI")</f>
        <v>-</v>
      </c>
      <c r="I22" t="str">
        <f>RTD("tos.rtd", , "POSITION_QTY", "CPRI")</f>
        <v>-</v>
      </c>
      <c r="J22" t="str">
        <f>RTD("tos.rtd", , "AV_TRADE_PRICE", "CPRI")</f>
        <v>-</v>
      </c>
      <c r="K22">
        <v>4000</v>
      </c>
      <c r="L22" s="3" t="str">
        <f>IF(IFERROR((J22*I22-K22)/I22,"")&lt;0,0,IFERROR((J22*I22-K22)/I22,""))</f>
        <v/>
      </c>
      <c r="M22" s="4" t="str">
        <f>IFERROR(J22-L22,"")</f>
        <v/>
      </c>
      <c r="N22" s="6" t="str">
        <f>IFERROR(ROUND(K22/M22,0),"")</f>
        <v/>
      </c>
      <c r="O22" s="4" t="str">
        <f>IFERROR(N22-I22,"")</f>
        <v/>
      </c>
    </row>
    <row r="23" spans="1:15" x14ac:dyDescent="0.25">
      <c r="A23" s="8" t="s">
        <v>13</v>
      </c>
      <c r="B23" t="str">
        <f>RTD("tos.rtd", , "DESCRIPTION", "CRBP")</f>
        <v>CORBUS PHARMAS HLDGS INC COM</v>
      </c>
      <c r="C23">
        <f>RTD("tos.rtd", , "LAST", "CRBP")</f>
        <v>8.5601000000000003</v>
      </c>
      <c r="D23" t="str">
        <f>RTD("tos.rtd", , "P_L_PERCENT", "CRBP")</f>
        <v>0.00%</v>
      </c>
      <c r="E23" s="7">
        <f>RTD("tos.rtd", , "P_L_OPEN", "CRBP")</f>
        <v>0</v>
      </c>
      <c r="F23" t="str">
        <f>RTD("tos.rtd", , "PERCENT_CHANGE", "CRBP")</f>
        <v>-0.69%</v>
      </c>
      <c r="G23">
        <f>RTD("tos.rtd", , "NET_CHANGE", "CRBP")</f>
        <v>-5.9900000000000002E-2</v>
      </c>
      <c r="H23">
        <f>RTD("tos.rtd", , "POSITION_N_L", "CRBP")</f>
        <v>0</v>
      </c>
      <c r="I23">
        <f>RTD("tos.rtd", , "POSITION_QTY", "CRBP")</f>
        <v>0</v>
      </c>
      <c r="J23">
        <f>RTD("tos.rtd", , "AV_TRADE_PRICE", "CRBP")</f>
        <v>0</v>
      </c>
      <c r="K23">
        <v>4000</v>
      </c>
      <c r="L23" s="3" t="str">
        <f>IF(IFERROR((J23*I23-K23)/I23,"")&lt;0,0,IFERROR((J23*I23-K23)/I23,""))</f>
        <v/>
      </c>
      <c r="M23" s="4" t="str">
        <f>IFERROR(J23-L23,"")</f>
        <v/>
      </c>
      <c r="N23" s="6" t="str">
        <f>IFERROR(ROUND(K23/M23,0),"")</f>
        <v/>
      </c>
      <c r="O23" s="4" t="str">
        <f>IFERROR(N23-I23,"")</f>
        <v/>
      </c>
    </row>
    <row r="24" spans="1:15" x14ac:dyDescent="0.25">
      <c r="A24" s="8" t="s">
        <v>28</v>
      </c>
      <c r="B24" t="str">
        <f>RTD("tos.rtd", , "DESCRIPTION", "DERM")</f>
        <v>DERMIRA INC COM</v>
      </c>
      <c r="C24">
        <f>RTD("tos.rtd", , "LAST", "DERM")</f>
        <v>7.6329000000000002</v>
      </c>
      <c r="D24" t="str">
        <f>RTD("tos.rtd", , "P_L_PERCENT", "DERM")</f>
        <v>0.00%</v>
      </c>
      <c r="E24" s="7">
        <f>RTD("tos.rtd", , "P_L_OPEN", "DERM")</f>
        <v>0</v>
      </c>
      <c r="F24" t="str">
        <f>RTD("tos.rtd", , "PERCENT_CHANGE", "DERM")</f>
        <v>+0.57%</v>
      </c>
      <c r="G24">
        <f>RTD("tos.rtd", , "NET_CHANGE", "DERM")</f>
        <v>4.2900000000000001E-2</v>
      </c>
      <c r="H24">
        <f>RTD("tos.rtd", , "POSITION_N_L", "DERM")</f>
        <v>0</v>
      </c>
      <c r="I24">
        <f>RTD("tos.rtd", , "POSITION_QTY", "DERM")</f>
        <v>0</v>
      </c>
      <c r="J24">
        <f>RTD("tos.rtd", , "AV_TRADE_PRICE", "DERM")</f>
        <v>0</v>
      </c>
      <c r="K24">
        <v>4000</v>
      </c>
      <c r="L24" s="3" t="str">
        <f>IF(IFERROR((J24*I24-K24)/I24,"")&lt;0,0,IFERROR((J24*I24-K24)/I24,""))</f>
        <v/>
      </c>
      <c r="M24" s="4" t="str">
        <f>IFERROR(J24-L24,"")</f>
        <v/>
      </c>
      <c r="N24" s="6" t="str">
        <f>IFERROR(ROUND(K24/M24,0),"")</f>
        <v/>
      </c>
      <c r="O24" s="4" t="str">
        <f>IFERROR(N24-I24,"")</f>
        <v/>
      </c>
    </row>
    <row r="25" spans="1:15" x14ac:dyDescent="0.25">
      <c r="A25" s="8" t="s">
        <v>25</v>
      </c>
      <c r="B25" t="str">
        <f>RTD("tos.rtd", , "DESCRIPTION", "DRNA")</f>
        <v>DICERNA PHARMACEUTICALS INC. COM</v>
      </c>
      <c r="C25">
        <f>RTD("tos.rtd", , "LAST", "DRNA")</f>
        <v>10.65</v>
      </c>
      <c r="D25" t="str">
        <f>RTD("tos.rtd", , "P_L_PERCENT", "DRNA")</f>
        <v>-2.38%</v>
      </c>
      <c r="E25" s="7">
        <f>RTD("tos.rtd", , "P_L_OPEN", "DRNA")</f>
        <v>-26</v>
      </c>
      <c r="F25" t="str">
        <f>RTD("tos.rtd", , "PERCENT_CHANGE", "DRNA")</f>
        <v>-0.93%</v>
      </c>
      <c r="G25">
        <f>RTD("tos.rtd", , "NET_CHANGE", "DRNA")</f>
        <v>-0.1</v>
      </c>
      <c r="H25">
        <f>RTD("tos.rtd", , "POSITION_N_L", "DRNA")</f>
        <v>1065</v>
      </c>
      <c r="I25">
        <f>RTD("tos.rtd", , "POSITION_QTY", "DRNA")</f>
        <v>100</v>
      </c>
      <c r="J25">
        <f>RTD("tos.rtd", , "AV_TRADE_PRICE", "DRNA")</f>
        <v>10.91</v>
      </c>
      <c r="K25">
        <v>4003</v>
      </c>
      <c r="L25" s="3">
        <f>IF(IFERROR((J25*I25-K25)/I25,"")&lt;0,0,IFERROR((J25*I25-K25)/I25,""))</f>
        <v>0</v>
      </c>
      <c r="M25" s="4">
        <f>IFERROR(J25-L25,"")</f>
        <v>10.91</v>
      </c>
      <c r="N25" s="6">
        <f>IFERROR(ROUND(K25/M25,0),"")</f>
        <v>367</v>
      </c>
      <c r="O25" s="4">
        <f>IFERROR(N25-I25,"")</f>
        <v>267</v>
      </c>
    </row>
    <row r="26" spans="1:15" x14ac:dyDescent="0.25">
      <c r="A26" s="8" t="s">
        <v>48</v>
      </c>
      <c r="B26" t="str">
        <f>RTD("tos.rtd", , "DESCRIPTION", "FB")</f>
        <v>FACEBOOK INC COM CL A</v>
      </c>
      <c r="C26">
        <f>RTD("tos.rtd", , "LAST", "FB")</f>
        <v>163.59</v>
      </c>
      <c r="D26" t="str">
        <f>RTD("tos.rtd", , "P_L_PERCENT", "FB")</f>
        <v>-</v>
      </c>
      <c r="E26" s="7" t="str">
        <f>RTD("tos.rtd", , "P_L_OPEN", "FB")</f>
        <v>-</v>
      </c>
      <c r="F26" t="str">
        <f>RTD("tos.rtd", , "PERCENT_CHANGE", "FB")</f>
        <v>+0.80%</v>
      </c>
      <c r="G26">
        <f>RTD("tos.rtd", , "NET_CHANGE", "FB")</f>
        <v>1.3</v>
      </c>
      <c r="H26" t="str">
        <f>RTD("tos.rtd", , "POSITION_N_L", "FB")</f>
        <v>-</v>
      </c>
      <c r="I26" t="str">
        <f>RTD("tos.rtd", , "POSITION_QTY", "FB")</f>
        <v>-</v>
      </c>
      <c r="J26" t="str">
        <f>RTD("tos.rtd", , "AV_TRADE_PRICE", "FB")</f>
        <v>-</v>
      </c>
      <c r="K26">
        <v>4000</v>
      </c>
      <c r="L26" s="3" t="str">
        <f>IF(IFERROR((J26*I26-K26)/I26,"")&lt;0,0,IFERROR((J26*I26-K26)/I26,""))</f>
        <v/>
      </c>
      <c r="M26" s="4" t="str">
        <f>IFERROR(J26-L26,"")</f>
        <v/>
      </c>
      <c r="N26" s="6" t="str">
        <f>IFERROR(ROUND(K26/M26,0),"")</f>
        <v/>
      </c>
      <c r="O26" s="4" t="str">
        <f>IFERROR(N26-I26,"")</f>
        <v/>
      </c>
    </row>
    <row r="27" spans="1:15" x14ac:dyDescent="0.25">
      <c r="A27" s="8" t="s">
        <v>46</v>
      </c>
      <c r="B27" t="str">
        <f>RTD("tos.rtd", , "DESCRIPTION", "FIVE")</f>
        <v>FIVE BELOW INC COM</v>
      </c>
      <c r="C27">
        <f>RTD("tos.rtd", , "LAST", "FIVE")</f>
        <v>130.495</v>
      </c>
      <c r="D27" t="str">
        <f>RTD("tos.rtd", , "P_L_PERCENT", "FIVE")</f>
        <v>-</v>
      </c>
      <c r="E27" s="7" t="str">
        <f>RTD("tos.rtd", , "P_L_OPEN", "FIVE")</f>
        <v>-</v>
      </c>
      <c r="F27" t="str">
        <f>RTD("tos.rtd", , "PERCENT_CHANGE", "FIVE")</f>
        <v>+1.07%</v>
      </c>
      <c r="G27">
        <f>RTD("tos.rtd", , "NET_CHANGE", "FIVE")</f>
        <v>1.385</v>
      </c>
      <c r="H27" t="str">
        <f>RTD("tos.rtd", , "POSITION_N_L", "FIVE")</f>
        <v>-</v>
      </c>
      <c r="I27" t="str">
        <f>RTD("tos.rtd", , "POSITION_QTY", "FIVE")</f>
        <v>-</v>
      </c>
      <c r="J27" t="str">
        <f>RTD("tos.rtd", , "AV_TRADE_PRICE", "FIVE")</f>
        <v>-</v>
      </c>
      <c r="K27">
        <v>4000</v>
      </c>
      <c r="L27" s="3" t="str">
        <f>IF(IFERROR((J27*I27-K27)/I27,"")&lt;0,0,IFERROR((J27*I27-K27)/I27,""))</f>
        <v/>
      </c>
      <c r="M27" s="4" t="str">
        <f>IFERROR(J27-L27,"")</f>
        <v/>
      </c>
      <c r="N27" s="6" t="str">
        <f>IFERROR(ROUND(K27/M27,0),"")</f>
        <v/>
      </c>
      <c r="O27" s="4" t="str">
        <f>IFERROR(N27-I27,"")</f>
        <v/>
      </c>
    </row>
    <row r="28" spans="1:15" x14ac:dyDescent="0.25">
      <c r="A28" s="8" t="s">
        <v>23</v>
      </c>
      <c r="B28" t="str">
        <f>RTD("tos.rtd", , "DESCRIPTION", "FLXN")</f>
        <v>FLEXION THERAPEUTICS INC COM</v>
      </c>
      <c r="C28">
        <f>RTD("tos.rtd", , "LAST", "FLXN")</f>
        <v>14.5</v>
      </c>
      <c r="D28" t="str">
        <f>RTD("tos.rtd", , "P_L_PERCENT", "FLXN")</f>
        <v>1.49%</v>
      </c>
      <c r="E28" s="7">
        <f>RTD("tos.rtd", , "P_L_OPEN", "FLXN")</f>
        <v>64</v>
      </c>
      <c r="F28" t="str">
        <f>RTD("tos.rtd", , "PERCENT_CHANGE", "FLXN")</f>
        <v>+1.26%</v>
      </c>
      <c r="G28">
        <f>RTD("tos.rtd", , "NET_CHANGE", "FLXN")</f>
        <v>0.18</v>
      </c>
      <c r="H28">
        <f>RTD("tos.rtd", , "POSITION_N_L", "FLXN")</f>
        <v>4350</v>
      </c>
      <c r="I28">
        <f>RTD("tos.rtd", , "POSITION_QTY", "FLXN")</f>
        <v>300</v>
      </c>
      <c r="J28">
        <f>RTD("tos.rtd", , "AV_TRADE_PRICE", "FLXN")</f>
        <v>14.29</v>
      </c>
      <c r="K28">
        <v>4000</v>
      </c>
      <c r="L28" s="3">
        <f>IF(IFERROR((J28*I28-K28)/I28,"")&lt;0,0,IFERROR((J28*I28-K28)/I28,""))</f>
        <v>0.95666666666666667</v>
      </c>
      <c r="M28" s="4">
        <f>IFERROR(J28-L28,"")</f>
        <v>13.333333333333332</v>
      </c>
      <c r="N28" s="6">
        <f>IFERROR(ROUND(K28/M28,0),"")</f>
        <v>300</v>
      </c>
      <c r="O28" s="4">
        <f>IFERROR(N28-I28,"")</f>
        <v>0</v>
      </c>
    </row>
    <row r="29" spans="1:15" x14ac:dyDescent="0.25">
      <c r="A29" s="8" t="s">
        <v>36</v>
      </c>
      <c r="B29" t="str">
        <f>RTD("tos.rtd", , "DESCRIPTION", "FND")</f>
        <v>FLOOR &amp; DECOR HOLDINGS INC COM CL A</v>
      </c>
      <c r="C29">
        <f>RTD("tos.rtd", , "LAST", "FND")</f>
        <v>35.729999999999997</v>
      </c>
      <c r="D29" t="str">
        <f>RTD("tos.rtd", , "P_L_PERCENT", "FND")</f>
        <v>0.00%</v>
      </c>
      <c r="E29" s="7">
        <f>RTD("tos.rtd", , "P_L_OPEN", "FND")</f>
        <v>0</v>
      </c>
      <c r="F29" t="str">
        <f>RTD("tos.rtd", , "PERCENT_CHANGE", "FND")</f>
        <v>+2.14%</v>
      </c>
      <c r="G29">
        <f>RTD("tos.rtd", , "NET_CHANGE", "FND")</f>
        <v>0.75</v>
      </c>
      <c r="H29">
        <f>RTD("tos.rtd", , "POSITION_N_L", "FND")</f>
        <v>0</v>
      </c>
      <c r="I29">
        <f>RTD("tos.rtd", , "POSITION_QTY", "FND")</f>
        <v>0</v>
      </c>
      <c r="J29">
        <f>RTD("tos.rtd", , "AV_TRADE_PRICE", "FND")</f>
        <v>0</v>
      </c>
      <c r="K29">
        <v>4000</v>
      </c>
      <c r="L29" s="3" t="str">
        <f>IF(IFERROR((J29*I29-K29)/I29,"")&lt;0,0,IFERROR((J29*I29-K29)/I29,""))</f>
        <v/>
      </c>
      <c r="M29" s="4" t="str">
        <f>IFERROR(J29-L29,"")</f>
        <v/>
      </c>
      <c r="N29" s="6" t="str">
        <f>IFERROR(ROUND(K29/M29,0),"")</f>
        <v/>
      </c>
      <c r="O29" s="4" t="str">
        <f>IFERROR(N29-I29,"")</f>
        <v/>
      </c>
    </row>
    <row r="30" spans="1:15" x14ac:dyDescent="0.25">
      <c r="A30" s="8" t="s">
        <v>38</v>
      </c>
      <c r="B30" t="str">
        <f>RTD("tos.rtd", , "DESCRIPTION", "GNMK")</f>
        <v>GENMARK DIAGNOSTICS INC COM</v>
      </c>
      <c r="C30">
        <f>RTD("tos.rtd", , "LAST", "GNMK")</f>
        <v>6.2149999999999999</v>
      </c>
      <c r="D30" t="str">
        <f>RTD("tos.rtd", , "P_L_PERCENT", "GNMK")</f>
        <v>-</v>
      </c>
      <c r="E30" s="7" t="str">
        <f>RTD("tos.rtd", , "P_L_OPEN", "GNMK")</f>
        <v>-</v>
      </c>
      <c r="F30" t="str">
        <f>RTD("tos.rtd", , "PERCENT_CHANGE", "GNMK")</f>
        <v>-0.72%</v>
      </c>
      <c r="G30">
        <f>RTD("tos.rtd", , "NET_CHANGE", "GNMK")</f>
        <v>-4.4999999999999998E-2</v>
      </c>
      <c r="H30" t="str">
        <f>RTD("tos.rtd", , "POSITION_N_L", "GNMK")</f>
        <v>-</v>
      </c>
      <c r="I30">
        <f>RTD("tos.rtd", , "POSITION_QTY", "FND")</f>
        <v>0</v>
      </c>
      <c r="J30">
        <f>RTD("tos.rtd", , "AV_TRADE_PRICE", "FND")</f>
        <v>0</v>
      </c>
      <c r="K30">
        <v>4000</v>
      </c>
      <c r="L30" s="3" t="str">
        <f>IF(IFERROR((J30*I30-K30)/I30,"")&lt;0,0,IFERROR((J30*I30-K30)/I30,""))</f>
        <v/>
      </c>
      <c r="M30" s="4" t="str">
        <f>IFERROR(J30-L30,"")</f>
        <v/>
      </c>
      <c r="N30" s="6" t="str">
        <f>IFERROR(ROUND(K30/M30,0),"")</f>
        <v/>
      </c>
      <c r="O30" s="4" t="str">
        <f>IFERROR(N30-I30,"")</f>
        <v/>
      </c>
    </row>
    <row r="31" spans="1:15" x14ac:dyDescent="0.25">
      <c r="A31" s="8" t="s">
        <v>34</v>
      </c>
      <c r="B31" t="str">
        <f>RTD("tos.rtd", , "DESCRIPTION", "HRTX")</f>
        <v>HERON THERAPEUTICS INC COM</v>
      </c>
      <c r="C31">
        <f>RTD("tos.rtd", , "LAST", "HRTX")</f>
        <v>27.343299999999999</v>
      </c>
      <c r="D31" t="str">
        <f>RTD("tos.rtd", , "P_L_PERCENT", "HRTX")</f>
        <v>-1.71%</v>
      </c>
      <c r="E31" s="7">
        <f>RTD("tos.rtd", , "P_L_OPEN", "HRTX")</f>
        <v>-95.34</v>
      </c>
      <c r="F31" t="str">
        <f>RTD("tos.rtd", , "PERCENT_CHANGE", "HRTX")</f>
        <v>-0.17%</v>
      </c>
      <c r="G31">
        <f>RTD("tos.rtd", , "NET_CHANGE", "HRTX")</f>
        <v>-4.6699999999999998E-2</v>
      </c>
      <c r="H31">
        <f>RTD("tos.rtd", , "POSITION_N_L", "HRTX")</f>
        <v>5468.66</v>
      </c>
      <c r="I31">
        <f>RTD("tos.rtd", , "POSITION_QTY", "HRTX")</f>
        <v>200</v>
      </c>
      <c r="J31">
        <f>RTD("tos.rtd", , "AV_TRADE_PRICE", "HRTX")</f>
        <v>27.82</v>
      </c>
      <c r="K31">
        <v>4004</v>
      </c>
      <c r="L31" s="3">
        <f>IF(IFERROR((J31*I31-K31)/I31,"")&lt;0,0,IFERROR((J31*I31-K31)/I31,""))</f>
        <v>7.8</v>
      </c>
      <c r="M31" s="4">
        <f>IFERROR(J31-L31,"")</f>
        <v>20.02</v>
      </c>
      <c r="N31" s="6">
        <f>IFERROR(ROUND(K31/M31,0),"")</f>
        <v>200</v>
      </c>
      <c r="O31" s="4">
        <f>IFERROR(N31-I31,"")</f>
        <v>0</v>
      </c>
    </row>
    <row r="32" spans="1:15" x14ac:dyDescent="0.25">
      <c r="A32" s="8" t="s">
        <v>35</v>
      </c>
      <c r="B32" t="str">
        <f>RTD("tos.rtd", , "DESCRIPTION", "MU")</f>
        <v>MICRON TECHNOLOGY INC COM</v>
      </c>
      <c r="C32">
        <f>RTD("tos.rtd", , "LAST", "MU")</f>
        <v>42.796500000000002</v>
      </c>
      <c r="D32" t="str">
        <f>RTD("tos.rtd", , "P_L_PERCENT", "MU")</f>
        <v>-</v>
      </c>
      <c r="E32" s="7" t="str">
        <f>RTD("tos.rtd", , "P_L_OPEN", "MU")</f>
        <v>-</v>
      </c>
      <c r="F32" t="str">
        <f>RTD("tos.rtd", , "PERCENT_CHANGE", "MU")</f>
        <v>+1.99%</v>
      </c>
      <c r="G32">
        <f>RTD("tos.rtd", , "NET_CHANGE", "MU")</f>
        <v>0.83650000000000002</v>
      </c>
      <c r="H32" t="str">
        <f>RTD("tos.rtd", , "POSITION_N_L", "MU")</f>
        <v>-</v>
      </c>
      <c r="I32" t="str">
        <f>RTD("tos.rtd", , "POSITION_QTY", "MU")</f>
        <v>-</v>
      </c>
      <c r="J32" t="str">
        <f>RTD("tos.rtd", , "AV_TRADE_PRICE", "MU")</f>
        <v>-</v>
      </c>
      <c r="K32">
        <v>4000</v>
      </c>
      <c r="L32" s="3" t="str">
        <f>IF(IFERROR((J32*I32-K32)/I32,"")&lt;0,0,IFERROR((J32*I32-K32)/I32,""))</f>
        <v/>
      </c>
      <c r="M32" s="4" t="str">
        <f>IFERROR(J32-L32,"")</f>
        <v/>
      </c>
      <c r="N32" s="6" t="str">
        <f>IFERROR(ROUND(K32/M32,0),"")</f>
        <v/>
      </c>
      <c r="O32" s="4" t="str">
        <f>IFERROR(N32-I32,"")</f>
        <v/>
      </c>
    </row>
    <row r="33" spans="1:15" x14ac:dyDescent="0.25">
      <c r="A33" s="8" t="s">
        <v>53</v>
      </c>
      <c r="B33" t="str">
        <f>RTD("tos.rtd", , "DESCRIPTION", "NBEV")</f>
        <v>NEW AGE BEVERAGES CORPORATION COM</v>
      </c>
      <c r="C33">
        <f>RTD("tos.rtd", , "LAST", "NBEV")</f>
        <v>6.3230000000000004</v>
      </c>
      <c r="D33" t="str">
        <f>RTD("tos.rtd", , "P_L_PERCENT", "NBEV")</f>
        <v>-</v>
      </c>
      <c r="E33" s="7" t="str">
        <f>RTD("tos.rtd", , "P_L_OPEN", "NBEV")</f>
        <v>-</v>
      </c>
      <c r="F33" t="str">
        <f>RTD("tos.rtd", , "PERCENT_CHANGE", "NBEV")</f>
        <v>-0.43%</v>
      </c>
      <c r="G33">
        <f>RTD("tos.rtd", , "NET_CHANGE", "NBEV")</f>
        <v>-2.7E-2</v>
      </c>
      <c r="H33" t="str">
        <f>RTD("tos.rtd", , "POSITION_N_L", "NBEV")</f>
        <v>-</v>
      </c>
      <c r="I33" t="str">
        <f>RTD("tos.rtd", , "POSITION_QTY", "NBEV")</f>
        <v>-</v>
      </c>
      <c r="J33" t="str">
        <f>RTD("tos.rtd", , "AV_TRADE_PRICE", "NBEV")</f>
        <v>-</v>
      </c>
      <c r="K33">
        <v>4000</v>
      </c>
      <c r="L33" s="3" t="str">
        <f>IF(IFERROR((J33*I33-K33)/I33,"")&lt;0,0,IFERROR((J33*I33-K33)/I33,""))</f>
        <v/>
      </c>
      <c r="M33" s="4" t="str">
        <f>IFERROR(J33-L33,"")</f>
        <v/>
      </c>
      <c r="N33" s="6" t="str">
        <f>IFERROR(ROUND(K33/M33,0),"")</f>
        <v/>
      </c>
      <c r="O33" s="4" t="str">
        <f>IFERROR(N33-I33,"")</f>
        <v/>
      </c>
    </row>
    <row r="34" spans="1:15" x14ac:dyDescent="0.25">
      <c r="A34" s="8" t="s">
        <v>9</v>
      </c>
      <c r="B34" t="str">
        <f>RTD("tos.rtd", , "DESCRIPTION", "NTES")</f>
        <v>NETEASE INC ADR SPONSORED</v>
      </c>
      <c r="C34">
        <f>RTD("tos.rtd", , "LAST", "NTES")</f>
        <v>235.25</v>
      </c>
      <c r="D34" t="str">
        <f>RTD("tos.rtd", , "P_L_PERCENT", "NTES")</f>
        <v>-2.08%</v>
      </c>
      <c r="E34" s="7">
        <f>RTD("tos.rtd", , "P_L_OPEN", "NTES")</f>
        <v>-1499</v>
      </c>
      <c r="F34" t="str">
        <f>RTD("tos.rtd", , "PERCENT_CHANGE", "NTES")</f>
        <v>+2.44%</v>
      </c>
      <c r="G34">
        <f>RTD("tos.rtd", , "NET_CHANGE", "NTES")</f>
        <v>5.61</v>
      </c>
      <c r="H34">
        <f>RTD("tos.rtd", , "POSITION_N_L", "NTES")</f>
        <v>70575</v>
      </c>
      <c r="I34">
        <f>RTD("tos.rtd", , "POSITION_QTY", "NTES")</f>
        <v>300</v>
      </c>
      <c r="J34">
        <f>RTD("tos.rtd", , "AV_TRADE_PRICE", "NTES")</f>
        <v>240.25</v>
      </c>
      <c r="K34">
        <v>4005</v>
      </c>
      <c r="L34" s="3">
        <f>IF(IFERROR((J34*I34-K34)/I34,"")&lt;0,0,IFERROR((J34*I34-K34)/I34,""))</f>
        <v>226.9</v>
      </c>
      <c r="M34" s="4">
        <f>IFERROR(J34-L34,"")</f>
        <v>13.349999999999994</v>
      </c>
      <c r="N34" s="6">
        <f>IFERROR(ROUND(K34/M34,0),"")</f>
        <v>300</v>
      </c>
      <c r="O34" s="4">
        <f>IFERROR(N34-I34,"")</f>
        <v>0</v>
      </c>
    </row>
    <row r="35" spans="1:15" x14ac:dyDescent="0.25">
      <c r="A35" s="8" t="s">
        <v>49</v>
      </c>
      <c r="B35" t="str">
        <f>RTD("tos.rtd", , "DESCRIPTION", "NVDA")</f>
        <v>NVIDIA CORP COM</v>
      </c>
      <c r="C35">
        <f>RTD("tos.rtd", , "LAST", "NVDA")</f>
        <v>158.4</v>
      </c>
      <c r="D35" t="str">
        <f>RTD("tos.rtd", , "P_L_PERCENT", "NVDA")</f>
        <v>-</v>
      </c>
      <c r="E35" s="7" t="str">
        <f>RTD("tos.rtd", , "P_L_OPEN", "NVDA")</f>
        <v>-</v>
      </c>
      <c r="F35" t="str">
        <f>RTD("tos.rtd", , "PERCENT_CHANGE", "NVDA")</f>
        <v>+1.12%</v>
      </c>
      <c r="G35">
        <f>RTD("tos.rtd", , "NET_CHANGE", "NVDA")</f>
        <v>1.76</v>
      </c>
      <c r="H35" t="str">
        <f>RTD("tos.rtd", , "POSITION_N_L", "NVDA")</f>
        <v>-</v>
      </c>
      <c r="I35" t="str">
        <f>RTD("tos.rtd", , "POSITION_QTY", "NVDA")</f>
        <v>-</v>
      </c>
      <c r="J35" t="str">
        <f>RTD("tos.rtd", , "AV_TRADE_PRICE", "NVDA")</f>
        <v>-</v>
      </c>
      <c r="K35">
        <v>4000</v>
      </c>
      <c r="L35" s="3" t="str">
        <f>IF(IFERROR((J35*I35-K35)/I35,"")&lt;0,0,IFERROR((J35*I35-K35)/I35,""))</f>
        <v/>
      </c>
      <c r="M35" s="4" t="str">
        <f>IFERROR(J35-L35,"")</f>
        <v/>
      </c>
      <c r="N35" s="6" t="str">
        <f>IFERROR(ROUND(K35/M35,0),"")</f>
        <v/>
      </c>
      <c r="O35" s="4" t="str">
        <f>IFERROR(N35-I35,"")</f>
        <v/>
      </c>
    </row>
    <row r="36" spans="1:15" x14ac:dyDescent="0.25">
      <c r="A36" s="8" t="s">
        <v>47</v>
      </c>
      <c r="B36" t="str">
        <f>RTD("tos.rtd", , "DESCRIPTION", "PAYC")</f>
        <v>PAYCOM SOFTWARE INC COM</v>
      </c>
      <c r="C36">
        <f>RTD("tos.rtd", , "LAST", "PAYC")</f>
        <v>178.85</v>
      </c>
      <c r="D36" t="str">
        <f>RTD("tos.rtd", , "P_L_PERCENT", "PAYC")</f>
        <v>-</v>
      </c>
      <c r="E36" s="7" t="str">
        <f>RTD("tos.rtd", , "P_L_OPEN", "PAYC")</f>
        <v>-</v>
      </c>
      <c r="F36" t="str">
        <f>RTD("tos.rtd", , "PERCENT_CHANGE", "PAYC")</f>
        <v>-0.40%</v>
      </c>
      <c r="G36">
        <f>RTD("tos.rtd", , "NET_CHANGE", "PAYC")</f>
        <v>-0.71</v>
      </c>
      <c r="H36" t="str">
        <f>RTD("tos.rtd", , "POSITION_N_L", "PAYC")</f>
        <v>-</v>
      </c>
      <c r="I36" t="str">
        <f>RTD("tos.rtd", , "POSITION_QTY", "PAYC")</f>
        <v>-</v>
      </c>
      <c r="J36" t="str">
        <f>RTD("tos.rtd", , "AV_TRADE_PRICE", "PAYC")</f>
        <v>-</v>
      </c>
      <c r="K36">
        <v>4000</v>
      </c>
      <c r="L36" s="3" t="str">
        <f>IF(IFERROR((J36*I36-K36)/I36,"")&lt;0,0,IFERROR((J36*I36-K36)/I36,""))</f>
        <v/>
      </c>
      <c r="M36" s="4" t="str">
        <f>IFERROR(J36-L36,"")</f>
        <v/>
      </c>
      <c r="N36" s="6" t="str">
        <f>IFERROR(ROUND(K36/M36,0),"")</f>
        <v/>
      </c>
      <c r="O36" s="4" t="str">
        <f>IFERROR(N36-I36,"")</f>
        <v/>
      </c>
    </row>
    <row r="37" spans="1:15" x14ac:dyDescent="0.25">
      <c r="A37" s="8" t="s">
        <v>50</v>
      </c>
      <c r="B37" t="str">
        <f>RTD("tos.rtd", , "DESCRIPTION", "REGN")</f>
        <v>REGENERON PHARMACEUTICALS INC COM</v>
      </c>
      <c r="C37">
        <f>RTD("tos.rtd", , "LAST", "REGN")</f>
        <v>418.41</v>
      </c>
      <c r="D37" t="str">
        <f>RTD("tos.rtd", , "P_L_PERCENT", "REGN")</f>
        <v>-</v>
      </c>
      <c r="E37" s="7" t="str">
        <f>RTD("tos.rtd", , "P_L_OPEN", "REGN")</f>
        <v>-</v>
      </c>
      <c r="F37" t="str">
        <f>RTD("tos.rtd", , "PERCENT_CHANGE", "REGN")</f>
        <v>-0.52%</v>
      </c>
      <c r="G37">
        <f>RTD("tos.rtd", , "NET_CHANGE", "REGN")</f>
        <v>-2.19</v>
      </c>
      <c r="H37" t="str">
        <f>RTD("tos.rtd", , "POSITION_N_L", "REGN")</f>
        <v>-</v>
      </c>
      <c r="I37" t="str">
        <f>RTD("tos.rtd", , "POSITION_QTY", "REGN")</f>
        <v>-</v>
      </c>
      <c r="J37" t="str">
        <f>RTD("tos.rtd", , "AV_TRADE_PRICE", "REGN")</f>
        <v>-</v>
      </c>
      <c r="K37">
        <v>4000</v>
      </c>
      <c r="L37" s="3" t="str">
        <f>IF(IFERROR((J37*I37-K37)/I37,"")&lt;0,0,IFERROR((J37*I37-K37)/I37,""))</f>
        <v/>
      </c>
      <c r="M37" s="4" t="str">
        <f>IFERROR(J37-L37,"")</f>
        <v/>
      </c>
      <c r="N37" s="6" t="str">
        <f>IFERROR(ROUND(K37/M37,0),"")</f>
        <v/>
      </c>
      <c r="O37" s="4" t="str">
        <f>IFERROR(N37-I37,"")</f>
        <v/>
      </c>
    </row>
    <row r="38" spans="1:15" x14ac:dyDescent="0.25">
      <c r="A38" s="8" t="s">
        <v>19</v>
      </c>
      <c r="B38" t="str">
        <f>RTD("tos.rtd", , "DESCRIPTION", "THO")</f>
        <v>THOR INDUSTRIES COM</v>
      </c>
      <c r="C38">
        <f>RTD("tos.rtd", , "LAST", "THO")</f>
        <v>69.599999999999994</v>
      </c>
      <c r="D38" t="str">
        <f>RTD("tos.rtd", , "P_L_PERCENT", "THO")</f>
        <v>3.16%</v>
      </c>
      <c r="E38" s="7">
        <f>RTD("tos.rtd", , "P_L_OPEN", "THO")</f>
        <v>427</v>
      </c>
      <c r="F38" t="str">
        <f>RTD("tos.rtd", , "PERCENT_CHANGE", "THO")</f>
        <v>+0.22%</v>
      </c>
      <c r="G38">
        <f>RTD("tos.rtd", , "NET_CHANGE", "THO")</f>
        <v>0.15</v>
      </c>
      <c r="H38">
        <f>RTD("tos.rtd", , "POSITION_N_L", "THO")</f>
        <v>13920</v>
      </c>
      <c r="I38">
        <f>RTD("tos.rtd", , "POSITION_QTY", "THO")</f>
        <v>200</v>
      </c>
      <c r="J38">
        <f>RTD("tos.rtd", , "AV_TRADE_PRICE", "THO")</f>
        <v>67.47</v>
      </c>
      <c r="K38">
        <v>4000</v>
      </c>
      <c r="L38" s="3">
        <f>IF(IFERROR((J38*I38-K38)/I38,"")&lt;0,0,IFERROR((J38*I38-K38)/I38,""))</f>
        <v>47.47</v>
      </c>
      <c r="M38" s="4">
        <f>IFERROR(J38-L38,"")</f>
        <v>20</v>
      </c>
      <c r="N38" s="6">
        <f>IFERROR(ROUND(K38/M38,0),"")</f>
        <v>200</v>
      </c>
      <c r="O38" s="4">
        <f>IFERROR(N38-I38,"")</f>
        <v>0</v>
      </c>
    </row>
    <row r="39" spans="1:15" x14ac:dyDescent="0.25">
      <c r="A39" s="8" t="s">
        <v>51</v>
      </c>
      <c r="B39" t="str">
        <f>RTD("tos.rtd", , "DESCRIPTION", "UBNT")</f>
        <v>UBIQUITI NETWORKS INC COM</v>
      </c>
      <c r="C39">
        <f>RTD("tos.rtd", , "LAST", "UBNT")</f>
        <v>138.25</v>
      </c>
      <c r="D39" t="str">
        <f>RTD("tos.rtd", , "P_L_PERCENT", "UBNT")</f>
        <v>-</v>
      </c>
      <c r="E39" s="7" t="str">
        <f>RTD("tos.rtd", , "P_L_OPEN", "UBNT")</f>
        <v>-</v>
      </c>
      <c r="F39" t="str">
        <f>RTD("tos.rtd", , "PERCENT_CHANGE", "UBNT")</f>
        <v>+0.02%</v>
      </c>
      <c r="G39">
        <f>RTD("tos.rtd", , "NET_CHANGE", "UBNT")</f>
        <v>0.03</v>
      </c>
      <c r="H39" t="str">
        <f>RTD("tos.rtd", , "POSITION_N_L", "UBNT")</f>
        <v>-</v>
      </c>
      <c r="I39" t="str">
        <f>RTD("tos.rtd", , "POSITION_QTY", "UBNT")</f>
        <v>-</v>
      </c>
      <c r="J39" t="str">
        <f>RTD("tos.rtd", , "AV_TRADE_PRICE", "UBNT")</f>
        <v>-</v>
      </c>
      <c r="K39">
        <v>4000</v>
      </c>
      <c r="L39" s="3" t="str">
        <f>IF(IFERROR((J39*I39-K39)/I39,"")&lt;0,0,IFERROR((J39*I39-K39)/I39,""))</f>
        <v/>
      </c>
      <c r="M39" s="4" t="str">
        <f>IFERROR(J39-L39,"")</f>
        <v/>
      </c>
      <c r="N39" s="6" t="str">
        <f>IFERROR(ROUND(K39/M39,0),"")</f>
        <v/>
      </c>
      <c r="O39" s="4" t="str">
        <f>IFERROR(N39-I39,"")</f>
        <v/>
      </c>
    </row>
    <row r="40" spans="1:15" x14ac:dyDescent="0.25">
      <c r="A40" s="8" t="s">
        <v>16</v>
      </c>
      <c r="B40" t="str">
        <f>RTD("tos.rtd", , "DESCRIPTION", "ULTA")</f>
        <v>ULTA BEAUTY INC COM</v>
      </c>
      <c r="C40">
        <f>RTD("tos.rtd", , "LAST", "ULTA")</f>
        <v>305.976</v>
      </c>
      <c r="D40" t="str">
        <f>RTD("tos.rtd", , "P_L_PERCENT", "ULTA")</f>
        <v>0.59%</v>
      </c>
      <c r="E40" s="7">
        <f>RTD("tos.rtd", , "P_L_OPEN", "ULTA")</f>
        <v>179.6</v>
      </c>
      <c r="F40" t="str">
        <f>RTD("tos.rtd", , "PERCENT_CHANGE", "ULTA")</f>
        <v>+0.44%</v>
      </c>
      <c r="G40">
        <f>RTD("tos.rtd", , "NET_CHANGE", "ULTA")</f>
        <v>1.3260000000000001</v>
      </c>
      <c r="H40">
        <f>RTD("tos.rtd", , "POSITION_N_L", "ULTA")</f>
        <v>30597.599999999999</v>
      </c>
      <c r="I40">
        <f>RTD("tos.rtd", , "POSITION_QTY", "ULTA")</f>
        <v>100</v>
      </c>
      <c r="J40">
        <f>RTD("tos.rtd", , "AV_TRADE_PRICE", "ULTA")</f>
        <v>304.18</v>
      </c>
      <c r="K40">
        <v>4000</v>
      </c>
      <c r="L40" s="3">
        <f>IF(IFERROR((J40*I40-K40)/I40,"")&lt;0,0,IFERROR((J40*I40-K40)/I40,""))</f>
        <v>264.18</v>
      </c>
      <c r="M40" s="4">
        <f>IFERROR(J40-L40,"")</f>
        <v>40</v>
      </c>
      <c r="N40" s="6">
        <f>IFERROR(ROUND(K40/M40,0),"")</f>
        <v>100</v>
      </c>
      <c r="O40" s="4">
        <f>IFERROR(N40-I40,"")</f>
        <v>0</v>
      </c>
    </row>
  </sheetData>
  <autoFilter ref="A1:O1" xr:uid="{E7B2A1E9-B53E-4346-BC89-9C9269253EE3}">
    <sortState ref="A2:O40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Burkhow</dc:creator>
  <cp:lastModifiedBy>Joshua Burkhow</cp:lastModifiedBy>
  <dcterms:created xsi:type="dcterms:W3CDTF">2019-02-15T22:11:32Z</dcterms:created>
  <dcterms:modified xsi:type="dcterms:W3CDTF">2019-02-20T15:03:54Z</dcterms:modified>
</cp:coreProperties>
</file>