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104861\Documents\Personal\Investing\"/>
    </mc:Choice>
  </mc:AlternateContent>
  <xr:revisionPtr revIDLastSave="0" documentId="13_ncr:1_{03E2F92F-F73A-4926-A9B1-18739B033B43}" xr6:coauthVersionLast="44" xr6:coauthVersionMax="44" xr10:uidLastSave="{00000000-0000-0000-0000-000000000000}"/>
  <bookViews>
    <workbookView xWindow="-120" yWindow="-120" windowWidth="20730" windowHeight="11160" firstSheet="1" activeTab="3" xr2:uid="{D44F0816-1F50-4D6F-A896-F59B7E57FA61}"/>
  </bookViews>
  <sheets>
    <sheet name="MonthlyRev_Archive" sheetId="1" state="hidden" r:id="rId1"/>
    <sheet name="MonthlyRev" sheetId="6" r:id="rId2"/>
    <sheet name="Population" sheetId="2" r:id="rId3"/>
    <sheet name="Projections" sheetId="3" r:id="rId4"/>
    <sheet name="Sheet1" sheetId="4" state="hidden" r:id="rId5"/>
    <sheet name="Sourc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" i="3" l="1"/>
  <c r="T22" i="3"/>
  <c r="L23" i="3"/>
  <c r="L22" i="3"/>
  <c r="R22" i="3"/>
  <c r="Q22" i="3" s="1"/>
  <c r="P23" i="3"/>
  <c r="N23" i="3"/>
  <c r="P22" i="3"/>
  <c r="O9" i="3"/>
  <c r="L18" i="3"/>
  <c r="N17" i="3"/>
  <c r="N18" i="3" s="1"/>
  <c r="K2" i="3"/>
  <c r="A53" i="3"/>
  <c r="E53" i="3" s="1"/>
  <c r="K8" i="6"/>
  <c r="K6" i="6"/>
  <c r="K5" i="6"/>
  <c r="K4" i="6"/>
  <c r="K3" i="6"/>
  <c r="K2" i="6"/>
  <c r="L2" i="6" s="1"/>
  <c r="D14" i="6"/>
  <c r="D13" i="6"/>
  <c r="D12" i="6"/>
  <c r="D11" i="6"/>
  <c r="L5" i="6"/>
  <c r="J5" i="6"/>
  <c r="J4" i="6"/>
  <c r="J3" i="6"/>
  <c r="J2" i="6"/>
  <c r="J6" i="6" s="1"/>
  <c r="D14" i="1"/>
  <c r="D13" i="1"/>
  <c r="D12" i="1"/>
  <c r="D11" i="1"/>
  <c r="G53" i="3" l="1"/>
  <c r="F53" i="3"/>
  <c r="L4" i="6"/>
  <c r="L3" i="6"/>
  <c r="D4" i="4"/>
  <c r="D3" i="4"/>
  <c r="B4" i="4"/>
  <c r="B3" i="4"/>
  <c r="C3" i="4"/>
  <c r="O14" i="3" l="1"/>
  <c r="O10" i="3"/>
  <c r="O15" i="3"/>
  <c r="O17" i="3"/>
  <c r="O13" i="3"/>
  <c r="O16" i="3"/>
  <c r="O12" i="3"/>
  <c r="O11" i="3"/>
  <c r="L6" i="6"/>
  <c r="D53" i="2"/>
  <c r="C5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" i="3"/>
  <c r="J3" i="1"/>
  <c r="J4" i="1"/>
  <c r="J5" i="1"/>
  <c r="L5" i="1" s="1"/>
  <c r="J2" i="1"/>
  <c r="L2" i="1" s="1"/>
  <c r="K5" i="1"/>
  <c r="K4" i="1"/>
  <c r="K6" i="1" s="1"/>
  <c r="K8" i="1" s="1"/>
  <c r="L3" i="1"/>
  <c r="K3" i="1"/>
  <c r="K2" i="1"/>
  <c r="O18" i="3" l="1"/>
  <c r="L4" i="1"/>
  <c r="F32" i="3"/>
  <c r="F26" i="3"/>
  <c r="F30" i="3"/>
  <c r="J6" i="1"/>
  <c r="L6" i="1" s="1"/>
  <c r="G45" i="3"/>
  <c r="E13" i="3"/>
  <c r="G9" i="3"/>
  <c r="D30" i="3"/>
  <c r="G10" i="3"/>
  <c r="G18" i="3"/>
  <c r="F52" i="3"/>
  <c r="D28" i="3"/>
  <c r="F20" i="3"/>
  <c r="G8" i="3"/>
  <c r="G4" i="3"/>
  <c r="D42" i="3"/>
  <c r="G6" i="3"/>
  <c r="F47" i="3"/>
  <c r="G43" i="3"/>
  <c r="G19" i="3"/>
  <c r="G15" i="3"/>
  <c r="E26" i="3"/>
  <c r="D6" i="3"/>
  <c r="G16" i="3"/>
  <c r="G51" i="3"/>
  <c r="F9" i="3"/>
  <c r="E12" i="3"/>
  <c r="E19" i="3"/>
  <c r="E27" i="3"/>
  <c r="E45" i="3"/>
  <c r="E50" i="3"/>
  <c r="D7" i="3"/>
  <c r="D20" i="3"/>
  <c r="D32" i="3"/>
  <c r="D45" i="3"/>
  <c r="F8" i="3"/>
  <c r="F4" i="3"/>
  <c r="F19" i="3"/>
  <c r="F33" i="3"/>
  <c r="F45" i="3"/>
  <c r="F50" i="3"/>
  <c r="G5" i="3"/>
  <c r="G17" i="3"/>
  <c r="G22" i="3"/>
  <c r="G42" i="3"/>
  <c r="G47" i="3"/>
  <c r="G52" i="3"/>
  <c r="F13" i="3"/>
  <c r="G46" i="3"/>
  <c r="E11" i="3"/>
  <c r="E20" i="3"/>
  <c r="E28" i="3"/>
  <c r="E39" i="3"/>
  <c r="E51" i="3"/>
  <c r="D11" i="3"/>
  <c r="D18" i="3"/>
  <c r="D33" i="3"/>
  <c r="D46" i="3"/>
  <c r="F11" i="3"/>
  <c r="F7" i="3"/>
  <c r="F28" i="3"/>
  <c r="F39" i="3"/>
  <c r="G12" i="3"/>
  <c r="E10" i="3"/>
  <c r="E6" i="3"/>
  <c r="E17" i="3"/>
  <c r="E22" i="3"/>
  <c r="E30" i="3"/>
  <c r="E42" i="3"/>
  <c r="E47" i="3"/>
  <c r="E52" i="3"/>
  <c r="D19" i="3"/>
  <c r="F3" i="3" l="1"/>
  <c r="G3" i="3"/>
  <c r="G50" i="3"/>
  <c r="E3" i="3"/>
  <c r="D22" i="3"/>
  <c r="E4" i="3"/>
  <c r="E5" i="3"/>
  <c r="F48" i="3"/>
  <c r="G7" i="3"/>
  <c r="G27" i="3"/>
  <c r="F51" i="3"/>
  <c r="E48" i="3"/>
  <c r="D12" i="3"/>
  <c r="G32" i="3"/>
  <c r="G26" i="3"/>
  <c r="E43" i="3"/>
  <c r="F17" i="3"/>
  <c r="F10" i="3"/>
  <c r="E32" i="3"/>
  <c r="G39" i="3"/>
  <c r="F43" i="3"/>
  <c r="D26" i="3"/>
  <c r="E46" i="3"/>
  <c r="E7" i="3"/>
  <c r="D13" i="3"/>
  <c r="G30" i="3"/>
  <c r="G13" i="3"/>
  <c r="F27" i="3"/>
  <c r="F12" i="3"/>
  <c r="D17" i="3"/>
  <c r="E33" i="3"/>
  <c r="E8" i="3"/>
  <c r="E9" i="3"/>
  <c r="F18" i="3"/>
  <c r="G11" i="3"/>
  <c r="D39" i="3"/>
  <c r="F46" i="3"/>
  <c r="E18" i="3"/>
  <c r="F16" i="3"/>
  <c r="G48" i="3"/>
  <c r="F42" i="3"/>
  <c r="F5" i="3"/>
  <c r="G33" i="3"/>
  <c r="F22" i="3"/>
  <c r="F6" i="3"/>
  <c r="G20" i="3"/>
  <c r="G28" i="3"/>
  <c r="G54" i="3" l="1"/>
  <c r="E54" i="3"/>
  <c r="F54" i="3"/>
  <c r="D54" i="3"/>
  <c r="K3" i="3" l="1"/>
  <c r="K4" i="3" s="1"/>
  <c r="G55" i="3"/>
  <c r="M9" i="3" l="1"/>
  <c r="M10" i="3"/>
  <c r="P10" i="3" s="1"/>
  <c r="M12" i="3"/>
  <c r="P12" i="3" s="1"/>
  <c r="M16" i="3"/>
  <c r="P16" i="3" s="1"/>
  <c r="M14" i="3"/>
  <c r="P14" i="3" s="1"/>
  <c r="M17" i="3"/>
  <c r="P17" i="3" s="1"/>
  <c r="M15" i="3"/>
  <c r="M13" i="3"/>
  <c r="P13" i="3" s="1"/>
  <c r="M11" i="3"/>
  <c r="P11" i="3" s="1"/>
  <c r="P15" i="3" l="1"/>
  <c r="R23" i="3" s="1"/>
  <c r="P9" i="3"/>
  <c r="P18" i="3" s="1"/>
  <c r="M18" i="3"/>
  <c r="F3" i="4" l="1"/>
  <c r="E3" i="4" s="1"/>
  <c r="Q23" i="3"/>
  <c r="T23" i="3" s="1"/>
  <c r="F4" i="4"/>
  <c r="E4" i="4" s="1"/>
  <c r="K4" i="4" s="1"/>
  <c r="U23" i="3" l="1"/>
</calcChain>
</file>

<file path=xl/sharedStrings.xml><?xml version="1.0" encoding="utf-8"?>
<sst xmlns="http://schemas.openxmlformats.org/spreadsheetml/2006/main" count="283" uniqueCount="182">
  <si>
    <t>New Jersey Revenue - Online Sports Gambling</t>
  </si>
  <si>
    <t>https://www.lineups.com/betting/online-sports-gambling-revenue/</t>
  </si>
  <si>
    <t>Pop</t>
  </si>
  <si>
    <t>NJ</t>
  </si>
  <si>
    <t>PA</t>
  </si>
  <si>
    <t>Avg Monthly Revenue</t>
  </si>
  <si>
    <t>Avg Rev/Person</t>
  </si>
  <si>
    <t>PA Online</t>
  </si>
  <si>
    <t>https://www.playpennsylvania.com/sports-betting/revenue/</t>
  </si>
  <si>
    <t>https://www.actionnetwork.com/news/legal-sports-betting-united-states-projections#LegalAccepting</t>
  </si>
  <si>
    <t>https://www.playillinois.com/revenue/</t>
  </si>
  <si>
    <t>CO</t>
  </si>
  <si>
    <t>IL</t>
  </si>
  <si>
    <t>Rank</t>
  </si>
  <si>
    <t>State</t>
  </si>
  <si>
    <t>July 2019 Estimate</t>
  </si>
  <si>
    <t>Percent of Total</t>
  </si>
  <si>
    <t>California</t>
  </si>
  <si>
    <t>Texas</t>
  </si>
  <si>
    <t>Florida</t>
  </si>
  <si>
    <t>New York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</si>
  <si>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</si>
  <si>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</si>
  <si>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</si>
  <si>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</si>
  <si>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</si>
  <si>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</si>
  <si>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</si>
  <si>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</si>
  <si>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</si>
  <si>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</si>
  <si>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</si>
  <si>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</si>
  <si>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</si>
  <si>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</si>
  <si>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</si>
  <si>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</si>
  <si>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</si>
  <si>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</si>
  <si>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</si>
  <si>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</si>
  <si>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</si>
  <si>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</si>
  <si>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</si>
  <si>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</si>
  <si>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</si>
  <si>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</si>
  <si>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</si>
  <si>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</si>
  <si>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</si>
  <si>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</si>
  <si>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</si>
  <si>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</si>
  <si>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</si>
  <si>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West Virginia</t>
  </si>
  <si>
    <t>Idaho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</si>
  <si>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</si>
  <si>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</si>
  <si>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</si>
  <si>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</si>
  <si>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</si>
  <si>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</si>
  <si>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</si>
  <si>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</si>
  <si>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</si>
  <si>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DC</t>
  </si>
  <si>
    <t>Vermont</t>
  </si>
  <si>
    <t>Wyoming</t>
  </si>
  <si>
    <t>CA</t>
  </si>
  <si>
    <t>FL</t>
  </si>
  <si>
    <t>NE</t>
  </si>
  <si>
    <t>OH</t>
  </si>
  <si>
    <t>MI</t>
  </si>
  <si>
    <t>WA</t>
  </si>
  <si>
    <t>AR</t>
  </si>
  <si>
    <t>MA</t>
  </si>
  <si>
    <t>IN</t>
  </si>
  <si>
    <t>WI</t>
  </si>
  <si>
    <t>TX</t>
  </si>
  <si>
    <t>NY</t>
  </si>
  <si>
    <t>GA</t>
  </si>
  <si>
    <t>NC</t>
  </si>
  <si>
    <t>VA</t>
  </si>
  <si>
    <t>AZ</t>
  </si>
  <si>
    <t>TN</t>
  </si>
  <si>
    <t>MS</t>
  </si>
  <si>
    <t>MD</t>
  </si>
  <si>
    <t>MN</t>
  </si>
  <si>
    <t>SC</t>
  </si>
  <si>
    <t>AL</t>
  </si>
  <si>
    <t>LA</t>
  </si>
  <si>
    <t>KY</t>
  </si>
  <si>
    <t>OR</t>
  </si>
  <si>
    <t>OK</t>
  </si>
  <si>
    <t>CT</t>
  </si>
  <si>
    <t>UT</t>
  </si>
  <si>
    <t>IA</t>
  </si>
  <si>
    <t>NV</t>
  </si>
  <si>
    <t>AK</t>
  </si>
  <si>
    <t>MO</t>
  </si>
  <si>
    <t>KS</t>
  </si>
  <si>
    <t>NM</t>
  </si>
  <si>
    <t>WV</t>
  </si>
  <si>
    <t>NH</t>
  </si>
  <si>
    <t>ID</t>
  </si>
  <si>
    <t>HI</t>
  </si>
  <si>
    <t>ME</t>
  </si>
  <si>
    <t>MT</t>
  </si>
  <si>
    <t>RI</t>
  </si>
  <si>
    <t>SD</t>
  </si>
  <si>
    <t>DE</t>
  </si>
  <si>
    <t>ND</t>
  </si>
  <si>
    <t>VT</t>
  </si>
  <si>
    <t>WY</t>
  </si>
  <si>
    <t>ALL</t>
  </si>
  <si>
    <t>Forecast sports betting revenue in the United States in 2021 and 2025</t>
  </si>
  <si>
    <t>https://www.statista.com/statistics/1117369/sports-betting-revenue-forecast-us/#:~:text=The%20sports%20betting%20industry%20in,is%20growing%20with%20relative%20speed.&amp;text=In%202021%2C%20sports%20betting%20revenue,to%20eight%20billion%20U.S.%20dollars.</t>
  </si>
  <si>
    <t>8 B projected rev 2025</t>
  </si>
  <si>
    <t>First Year</t>
  </si>
  <si>
    <t>TOTAL</t>
  </si>
  <si>
    <t>Barstool</t>
  </si>
  <si>
    <t>DKNG</t>
  </si>
  <si>
    <t>Fanduel</t>
  </si>
  <si>
    <t>BetMGM</t>
  </si>
  <si>
    <t>theScore</t>
  </si>
  <si>
    <t>FUBO</t>
  </si>
  <si>
    <t>Market Share</t>
  </si>
  <si>
    <t>PointsBet</t>
  </si>
  <si>
    <t>William Hill</t>
  </si>
  <si>
    <t>Other</t>
  </si>
  <si>
    <t>Rev (MM)</t>
  </si>
  <si>
    <t>https://www.businesswire.com/news/home/20201028006107/en/theScore-Reports-F2020-Q4-and-Year-End-Financial-Results</t>
  </si>
  <si>
    <t>Canada</t>
  </si>
  <si>
    <t>US</t>
  </si>
  <si>
    <t>http://www.iie.com/publications/interstitial.cfm?ResearchID=2917</t>
  </si>
  <si>
    <t>http://www.forbes.com/billionaires/list/</t>
  </si>
  <si>
    <t>http://www.seanlahman.com/baseball-archive/statistics/</t>
  </si>
  <si>
    <t>http://www.retrosheet.org/gamelogs/index.html</t>
  </si>
  <si>
    <t>CAGR</t>
  </si>
  <si>
    <t>SCR</t>
  </si>
  <si>
    <t>Market Cap (M)</t>
  </si>
  <si>
    <t>Revenue (M)</t>
  </si>
  <si>
    <t>EV/Sales</t>
  </si>
  <si>
    <t>Share Price</t>
  </si>
  <si>
    <t>Notes</t>
  </si>
  <si>
    <t>Ignores growth in spend per capita</t>
  </si>
  <si>
    <t>Ignores cross border sales</t>
  </si>
  <si>
    <t>Might overestimate market share in Canada- 20% is a lot</t>
  </si>
  <si>
    <t>Need more numbers in US for accurate estimate.</t>
  </si>
  <si>
    <t>Ignores population growth in states and Canada</t>
  </si>
  <si>
    <t>Not exact EV/S because debt/cash</t>
  </si>
  <si>
    <t>Ignores theScore esports investment</t>
  </si>
  <si>
    <t>https://www.sportsbettingdime.com/colorado/sports-betting-revenue/</t>
  </si>
  <si>
    <t>Source</t>
  </si>
  <si>
    <t>Illinois Sports Betting Revenue</t>
  </si>
  <si>
    <t>Colorado Sports Betting Revenue</t>
  </si>
  <si>
    <t>Pennsylvania Sports Betting Revenue</t>
  </si>
  <si>
    <t>TheScore Fiscal Year</t>
  </si>
  <si>
    <t>Illinois*</t>
  </si>
  <si>
    <t>Colorado*</t>
  </si>
  <si>
    <t>New Jersey Sports Betting Revenue</t>
  </si>
  <si>
    <t>Population</t>
  </si>
  <si>
    <t>State/Region</t>
  </si>
  <si>
    <t>Annual Online Revenue ($B)</t>
  </si>
  <si>
    <t>Amount</t>
  </si>
  <si>
    <t>Avg revenue per person per month</t>
  </si>
  <si>
    <t>My projections</t>
  </si>
  <si>
    <t>TOTAL (ex Canada)</t>
  </si>
  <si>
    <t>Total</t>
  </si>
  <si>
    <t>Avg projections</t>
  </si>
  <si>
    <t>Company</t>
  </si>
  <si>
    <t># of shares (M)</t>
  </si>
  <si>
    <t>DKNG Revenue</t>
  </si>
  <si>
    <t>https://www.macrotrends.net/stocks/charts/DKNG/draftkings/revenue</t>
  </si>
  <si>
    <t>https://mobile.thescore.com/tag/earnings/#:~:text=theScore%20achieved%20a%20new%20Q3,in%20Canada%20and%20the%20U.S.</t>
  </si>
  <si>
    <t>SCR Revenue</t>
  </si>
  <si>
    <t>Data</t>
  </si>
  <si>
    <t>Legal Projections</t>
  </si>
  <si>
    <t>Sports Betting TAM Projections</t>
  </si>
  <si>
    <t>Wrong number of shares</t>
  </si>
  <si>
    <t>Weight/Probability</t>
  </si>
  <si>
    <t>Sources include: United States Census Bureau, 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</si>
</sst>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2" borderId="0" xfId="0" applyFill="1"/>
    <xf numFmtId="44" fontId="0" fillId="2" borderId="0" xfId="1" applyFont="1" applyFill="1"/>
    <xf numFmtId="9" fontId="0" fillId="0" borderId="0" xfId="2" applyFont="1"/>
    <xf numFmtId="44" fontId="0" fillId="0" borderId="0" xfId="0" applyNumberFormat="1"/>
    <xf numFmtId="0" fontId="2" fillId="0" borderId="0" xfId="0" applyFont="1"/>
    <xf numFmtId="0" fontId="4" fillId="0" borderId="0" xfId="3"/>
    <xf numFmtId="44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0" fontId="3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44" fontId="0" fillId="2" borderId="0" xfId="0" applyNumberFormat="1" applyFont="1" applyFill="1" applyBorder="1"/>
    <xf numFmtId="0" fontId="0" fillId="0" borderId="5" xfId="0" applyFont="1" applyBorder="1"/>
    <xf numFmtId="2" fontId="0" fillId="0" borderId="0" xfId="0" applyNumberFormat="1" applyFont="1" applyBorder="1"/>
    <xf numFmtId="0" fontId="0" fillId="0" borderId="6" xfId="0" applyFont="1" applyBorder="1"/>
    <xf numFmtId="44" fontId="1" fillId="2" borderId="7" xfId="1" applyFont="1" applyFill="1" applyBorder="1"/>
    <xf numFmtId="0" fontId="0" fillId="0" borderId="8" xfId="0" applyFont="1" applyBorder="1"/>
    <xf numFmtId="0" fontId="0" fillId="0" borderId="7" xfId="0" applyBorder="1"/>
    <xf numFmtId="44" fontId="0" fillId="0" borderId="7" xfId="0" applyNumberFormat="1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1" fontId="0" fillId="0" borderId="0" xfId="0" applyNumberFormat="1" applyBorder="1"/>
    <xf numFmtId="44" fontId="0" fillId="0" borderId="0" xfId="0" applyNumberFormat="1" applyBorder="1"/>
    <xf numFmtId="9" fontId="0" fillId="0" borderId="5" xfId="2" applyFont="1" applyBorder="1"/>
    <xf numFmtId="165" fontId="0" fillId="0" borderId="7" xfId="0" applyNumberFormat="1" applyBorder="1"/>
    <xf numFmtId="1" fontId="0" fillId="0" borderId="7" xfId="0" applyNumberFormat="1" applyBorder="1"/>
    <xf numFmtId="9" fontId="0" fillId="0" borderId="8" xfId="2" applyFont="1" applyBorder="1"/>
    <xf numFmtId="0" fontId="3" fillId="0" borderId="4" xfId="0" applyFont="1" applyBorder="1"/>
    <xf numFmtId="44" fontId="0" fillId="2" borderId="7" xfId="0" applyNumberFormat="1" applyFill="1" applyBorder="1"/>
    <xf numFmtId="0" fontId="0" fillId="2" borderId="6" xfId="0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1117369/sports-betting-revenue-forecast-u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1117369/sports-betting-revenue-forecast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C02D-9FA2-47ED-9158-BA37C6B32FC7}">
  <dimension ref="A1:P19"/>
  <sheetViews>
    <sheetView workbookViewId="0">
      <selection activeCell="P4" sqref="P4"/>
    </sheetView>
  </sheetViews>
  <sheetFormatPr defaultRowHeight="15" x14ac:dyDescent="0.25"/>
  <cols>
    <col min="2" max="2" width="13.42578125" customWidth="1"/>
    <col min="3" max="4" width="10.140625" bestFit="1" customWidth="1"/>
    <col min="5" max="5" width="10" bestFit="1" customWidth="1"/>
    <col min="6" max="6" width="10.140625" bestFit="1" customWidth="1"/>
    <col min="11" max="11" width="20" customWidth="1"/>
  </cols>
  <sheetData>
    <row r="1" spans="1:16" x14ac:dyDescent="0.25">
      <c r="B1" t="s">
        <v>0</v>
      </c>
      <c r="C1" t="s">
        <v>7</v>
      </c>
      <c r="D1" t="s">
        <v>11</v>
      </c>
      <c r="E1" t="s">
        <v>12</v>
      </c>
      <c r="J1" t="s">
        <v>2</v>
      </c>
      <c r="K1" t="s">
        <v>5</v>
      </c>
      <c r="L1" t="s">
        <v>6</v>
      </c>
      <c r="P1" t="s">
        <v>1</v>
      </c>
    </row>
    <row r="2" spans="1:16" x14ac:dyDescent="0.25">
      <c r="A2" s="2">
        <v>43831</v>
      </c>
      <c r="B2" s="1">
        <v>46654045</v>
      </c>
      <c r="I2" t="s">
        <v>3</v>
      </c>
      <c r="J2">
        <f>VLOOKUP(I2,Population!C:D,2,FALSE)</f>
        <v>8882190</v>
      </c>
      <c r="K2" s="1">
        <f>AVERAGE(B2:B14)</f>
        <v>33387766.692307692</v>
      </c>
      <c r="L2" s="4">
        <f>K2/J2</f>
        <v>3.7589565965496901</v>
      </c>
      <c r="P2" t="s">
        <v>8</v>
      </c>
    </row>
    <row r="3" spans="1:16" x14ac:dyDescent="0.25">
      <c r="A3" s="2">
        <v>43862</v>
      </c>
      <c r="B3" s="1">
        <v>15935022</v>
      </c>
      <c r="I3" t="s">
        <v>4</v>
      </c>
      <c r="J3">
        <f>VLOOKUP(I3,Population!C:D,2,FALSE)</f>
        <v>12801989</v>
      </c>
      <c r="K3">
        <f>AVERAGE(C11:C14)</f>
        <v>31000000</v>
      </c>
      <c r="L3">
        <f>K3/J3</f>
        <v>2.4214987218001829</v>
      </c>
      <c r="P3" t="s">
        <v>9</v>
      </c>
    </row>
    <row r="4" spans="1:16" x14ac:dyDescent="0.25">
      <c r="A4" s="2">
        <v>43891</v>
      </c>
      <c r="B4" s="1">
        <v>13279234</v>
      </c>
      <c r="I4" t="s">
        <v>11</v>
      </c>
      <c r="J4">
        <f>VLOOKUP(I4,Population!C:D,2,FALSE)</f>
        <v>5758736</v>
      </c>
      <c r="K4">
        <f>AVERAGE(D11:D12)</f>
        <v>16090678.800000001</v>
      </c>
      <c r="L4">
        <f>K4/J4</f>
        <v>2.7941337821355243</v>
      </c>
      <c r="P4" t="s">
        <v>10</v>
      </c>
    </row>
    <row r="5" spans="1:16" x14ac:dyDescent="0.25">
      <c r="A5" s="2">
        <v>43922</v>
      </c>
      <c r="B5" s="1">
        <v>2634050</v>
      </c>
      <c r="I5" t="s">
        <v>12</v>
      </c>
      <c r="J5">
        <f>VLOOKUP(I5,Population!C:D,2,FALSE)</f>
        <v>12671821</v>
      </c>
      <c r="K5">
        <f>AVERAGE(E9:E14)</f>
        <v>40833333.333333336</v>
      </c>
      <c r="L5">
        <f>K5/J5</f>
        <v>3.2223729591298151</v>
      </c>
    </row>
    <row r="6" spans="1:16" x14ac:dyDescent="0.25">
      <c r="A6" s="2">
        <v>43952</v>
      </c>
      <c r="B6" s="1">
        <v>10076784</v>
      </c>
      <c r="I6" s="6" t="s">
        <v>114</v>
      </c>
      <c r="J6" s="6">
        <f>SUM(J2:J5)</f>
        <v>40114736</v>
      </c>
      <c r="K6" s="6">
        <f>SUM(K2:K5)</f>
        <v>121311778.82564104</v>
      </c>
      <c r="L6" s="6">
        <f>K6/J6</f>
        <v>3.0241200845903866</v>
      </c>
    </row>
    <row r="7" spans="1:16" x14ac:dyDescent="0.25">
      <c r="A7" s="2">
        <v>43983</v>
      </c>
      <c r="B7" s="1">
        <v>12773543</v>
      </c>
      <c r="P7" s="11" t="s">
        <v>116</v>
      </c>
    </row>
    <row r="8" spans="1:16" x14ac:dyDescent="0.25">
      <c r="A8" s="2">
        <v>44013</v>
      </c>
      <c r="B8" s="1">
        <v>26942871</v>
      </c>
      <c r="K8">
        <f>K6*12/1000000</f>
        <v>1455.7413459076924</v>
      </c>
      <c r="P8" t="s">
        <v>115</v>
      </c>
    </row>
    <row r="9" spans="1:16" x14ac:dyDescent="0.25">
      <c r="A9" s="2">
        <v>44044</v>
      </c>
      <c r="B9" s="1">
        <v>34327709</v>
      </c>
      <c r="E9">
        <v>7000000</v>
      </c>
      <c r="P9" t="s">
        <v>117</v>
      </c>
    </row>
    <row r="10" spans="1:16" x14ac:dyDescent="0.25">
      <c r="A10" s="2">
        <v>44075</v>
      </c>
      <c r="B10" s="1">
        <v>39710924</v>
      </c>
      <c r="E10">
        <v>7000000</v>
      </c>
    </row>
    <row r="11" spans="1:16" x14ac:dyDescent="0.25">
      <c r="A11" s="2">
        <v>44105</v>
      </c>
      <c r="B11" s="1">
        <v>55166000</v>
      </c>
      <c r="C11">
        <v>30000000</v>
      </c>
      <c r="D11" s="3">
        <f>17402409*0.9</f>
        <v>15662168.1</v>
      </c>
      <c r="E11">
        <v>42000000</v>
      </c>
      <c r="P11" t="s">
        <v>131</v>
      </c>
    </row>
    <row r="12" spans="1:16" x14ac:dyDescent="0.25">
      <c r="A12" s="2">
        <v>44136</v>
      </c>
      <c r="B12" s="1">
        <v>43713332</v>
      </c>
      <c r="C12">
        <v>31000000</v>
      </c>
      <c r="D12" s="3">
        <f>18354655*0.9</f>
        <v>16519189.5</v>
      </c>
      <c r="E12">
        <v>41000000</v>
      </c>
    </row>
    <row r="13" spans="1:16" x14ac:dyDescent="0.25">
      <c r="A13" s="2">
        <v>44166</v>
      </c>
      <c r="B13" s="1">
        <v>58690627</v>
      </c>
      <c r="C13">
        <v>33000000</v>
      </c>
      <c r="D13" s="3">
        <f>17151867*0.9</f>
        <v>15436680.300000001</v>
      </c>
      <c r="E13">
        <v>23000000</v>
      </c>
    </row>
    <row r="14" spans="1:16" x14ac:dyDescent="0.25">
      <c r="A14" s="2">
        <v>44197</v>
      </c>
      <c r="B14" s="1">
        <v>74136826</v>
      </c>
      <c r="C14" s="3">
        <v>30000000</v>
      </c>
      <c r="D14" s="3">
        <f>23144535*0.9</f>
        <v>20830081.5</v>
      </c>
      <c r="E14">
        <v>125000000</v>
      </c>
      <c r="I14" s="10" t="s">
        <v>134</v>
      </c>
      <c r="O14" t="s">
        <v>11</v>
      </c>
      <c r="P14" t="s">
        <v>152</v>
      </c>
    </row>
    <row r="15" spans="1:16" x14ac:dyDescent="0.25">
      <c r="I15" s="10" t="s">
        <v>135</v>
      </c>
    </row>
    <row r="16" spans="1:16" x14ac:dyDescent="0.25">
      <c r="I16" s="10" t="s">
        <v>136</v>
      </c>
    </row>
    <row r="17" spans="9:9" x14ac:dyDescent="0.25">
      <c r="I17" s="10" t="s">
        <v>137</v>
      </c>
    </row>
    <row r="18" spans="9:9" x14ac:dyDescent="0.25">
      <c r="I18" s="10"/>
    </row>
    <row r="19" spans="9:9" x14ac:dyDescent="0.25">
      <c r="I19" s="10"/>
    </row>
  </sheetData>
  <hyperlinks>
    <hyperlink ref="P7" r:id="rId1" location=":~:text=The%20sports%20betting%20industry%20in,is%20growing%20with%20relative%20speed.&amp;text=In%202021%2C%20sports%20betting%20revenue,to%20eight%20billion%20U.S.%20dollars." xr:uid="{BD061BE3-7F01-4DD0-8958-2CF7033DC8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A29C-BAF3-4D1F-9B8C-837FF6A29D78}">
  <dimension ref="A1:L19"/>
  <sheetViews>
    <sheetView workbookViewId="0">
      <selection activeCell="G9" sqref="G9"/>
    </sheetView>
  </sheetViews>
  <sheetFormatPr defaultRowHeight="15" x14ac:dyDescent="0.25"/>
  <cols>
    <col min="2" max="2" width="13.42578125" customWidth="1"/>
    <col min="3" max="3" width="12.7109375" bestFit="1" customWidth="1"/>
    <col min="4" max="4" width="10.140625" bestFit="1" customWidth="1"/>
    <col min="5" max="5" width="12.7109375" bestFit="1" customWidth="1"/>
    <col min="6" max="6" width="10.140625" bestFit="1" customWidth="1"/>
    <col min="10" max="10" width="10.7109375" bestFit="1" customWidth="1"/>
    <col min="11" max="11" width="20" customWidth="1"/>
  </cols>
  <sheetData>
    <row r="1" spans="1:12" x14ac:dyDescent="0.25">
      <c r="B1" t="s">
        <v>27</v>
      </c>
      <c r="C1" t="s">
        <v>22</v>
      </c>
      <c r="D1" t="s">
        <v>159</v>
      </c>
      <c r="E1" t="s">
        <v>158</v>
      </c>
      <c r="J1" t="s">
        <v>161</v>
      </c>
      <c r="K1" t="s">
        <v>5</v>
      </c>
      <c r="L1" t="s">
        <v>6</v>
      </c>
    </row>
    <row r="2" spans="1:12" x14ac:dyDescent="0.25">
      <c r="A2" s="2">
        <v>43831</v>
      </c>
      <c r="B2" s="1">
        <v>46654045</v>
      </c>
      <c r="I2" t="s">
        <v>3</v>
      </c>
      <c r="J2">
        <f>VLOOKUP(I2,Population!C:D,2,FALSE)</f>
        <v>8882190</v>
      </c>
      <c r="K2" s="13">
        <f>AVERAGE(B2:B15)</f>
        <v>33387766.692307692</v>
      </c>
      <c r="L2" s="12">
        <f>K2/J2</f>
        <v>3.7589565965496901</v>
      </c>
    </row>
    <row r="3" spans="1:12" x14ac:dyDescent="0.25">
      <c r="A3" s="2">
        <v>43862</v>
      </c>
      <c r="B3" s="1">
        <v>15935022</v>
      </c>
      <c r="I3" t="s">
        <v>4</v>
      </c>
      <c r="J3">
        <f>VLOOKUP(I3,Population!C:D,2,FALSE)</f>
        <v>12801989</v>
      </c>
      <c r="K3" s="13">
        <f>AVERAGE(C11:C15)</f>
        <v>27481673</v>
      </c>
      <c r="L3" s="12">
        <f>K3/J3</f>
        <v>2.146672130400987</v>
      </c>
    </row>
    <row r="4" spans="1:12" x14ac:dyDescent="0.25">
      <c r="A4" s="2">
        <v>43891</v>
      </c>
      <c r="B4" s="1">
        <v>13279234</v>
      </c>
      <c r="I4" t="s">
        <v>11</v>
      </c>
      <c r="J4">
        <f>VLOOKUP(I4,Population!C:D,2,FALSE)</f>
        <v>5758736</v>
      </c>
      <c r="K4" s="13">
        <f>AVERAGE(D11:D15)</f>
        <v>17112029.850000001</v>
      </c>
      <c r="L4" s="12">
        <f>K4/J4</f>
        <v>2.9714905927272932</v>
      </c>
    </row>
    <row r="5" spans="1:12" x14ac:dyDescent="0.25">
      <c r="A5" s="2">
        <v>43922</v>
      </c>
      <c r="B5" s="1">
        <v>2634050</v>
      </c>
      <c r="I5" t="s">
        <v>12</v>
      </c>
      <c r="J5">
        <f>VLOOKUP(I5,Population!C:D,2,FALSE)</f>
        <v>12671821</v>
      </c>
      <c r="K5" s="13">
        <f>AVERAGE(E9:E14)</f>
        <v>25619342.585999999</v>
      </c>
      <c r="L5" s="12">
        <f>K5/J5</f>
        <v>2.0217569823626769</v>
      </c>
    </row>
    <row r="6" spans="1:12" x14ac:dyDescent="0.25">
      <c r="A6" s="2">
        <v>43952</v>
      </c>
      <c r="B6" s="1">
        <v>10076784</v>
      </c>
      <c r="I6" s="6" t="s">
        <v>114</v>
      </c>
      <c r="J6" s="6">
        <f>SUM(J2:J5)</f>
        <v>40114736</v>
      </c>
      <c r="K6" s="14">
        <f>SUM(K2:K5)</f>
        <v>103600812.1283077</v>
      </c>
      <c r="L6" s="7">
        <f>K6/J6</f>
        <v>2.5826123379774382</v>
      </c>
    </row>
    <row r="7" spans="1:12" x14ac:dyDescent="0.25">
      <c r="A7" s="2">
        <v>43983</v>
      </c>
      <c r="B7" s="1">
        <v>12773543</v>
      </c>
    </row>
    <row r="8" spans="1:12" x14ac:dyDescent="0.25">
      <c r="A8" s="2">
        <v>44013</v>
      </c>
      <c r="B8" s="1">
        <v>26942871</v>
      </c>
      <c r="K8" s="9">
        <f>K6*12/1000000</f>
        <v>1243.2097455396924</v>
      </c>
    </row>
    <row r="9" spans="1:12" x14ac:dyDescent="0.25">
      <c r="A9" s="2">
        <v>44044</v>
      </c>
      <c r="B9" s="1">
        <v>34327709</v>
      </c>
      <c r="E9">
        <v>6510023.8830000004</v>
      </c>
    </row>
    <row r="10" spans="1:12" x14ac:dyDescent="0.25">
      <c r="A10" s="2">
        <v>44075</v>
      </c>
      <c r="B10" s="1">
        <v>39710924</v>
      </c>
      <c r="E10">
        <v>6153560.1720000003</v>
      </c>
    </row>
    <row r="11" spans="1:12" x14ac:dyDescent="0.25">
      <c r="A11" s="2">
        <v>44105</v>
      </c>
      <c r="B11" s="1">
        <v>55166000</v>
      </c>
      <c r="C11">
        <v>30000000</v>
      </c>
      <c r="D11" s="3">
        <f>17402409*0.9</f>
        <v>15662168.1</v>
      </c>
      <c r="E11">
        <v>37980270.027000003</v>
      </c>
    </row>
    <row r="12" spans="1:12" x14ac:dyDescent="0.25">
      <c r="A12" s="2">
        <v>44136</v>
      </c>
      <c r="B12" s="1">
        <v>43713332</v>
      </c>
      <c r="C12">
        <v>31000000</v>
      </c>
      <c r="D12" s="3">
        <f>18354655*0.9</f>
        <v>16519189.5</v>
      </c>
      <c r="E12">
        <v>37157424.336000003</v>
      </c>
    </row>
    <row r="13" spans="1:12" x14ac:dyDescent="0.25">
      <c r="A13" s="2">
        <v>44166</v>
      </c>
      <c r="B13" s="1">
        <v>58690627</v>
      </c>
      <c r="C13">
        <v>33000000</v>
      </c>
      <c r="D13" s="3">
        <f>17151867*0.9</f>
        <v>15436680.300000001</v>
      </c>
      <c r="E13">
        <v>21485836.998</v>
      </c>
    </row>
    <row r="14" spans="1:12" x14ac:dyDescent="0.25">
      <c r="A14" s="2">
        <v>44197</v>
      </c>
      <c r="B14" s="1">
        <v>74136826</v>
      </c>
      <c r="C14" s="3">
        <v>30000000</v>
      </c>
      <c r="D14" s="3">
        <f>23144535*0.9</f>
        <v>20830081.5</v>
      </c>
      <c r="E14">
        <v>44428940.100000001</v>
      </c>
      <c r="I14" s="10"/>
    </row>
    <row r="15" spans="1:12" x14ac:dyDescent="0.25">
      <c r="A15" s="2">
        <v>44228</v>
      </c>
      <c r="C15" s="3">
        <v>13408365</v>
      </c>
      <c r="I15" s="10"/>
    </row>
    <row r="16" spans="1:12" x14ac:dyDescent="0.25">
      <c r="I16" s="10"/>
    </row>
    <row r="17" spans="9:9" x14ac:dyDescent="0.25">
      <c r="I17" s="10"/>
    </row>
    <row r="18" spans="9:9" x14ac:dyDescent="0.25">
      <c r="I18" s="10"/>
    </row>
    <row r="19" spans="9:9" x14ac:dyDescent="0.25">
      <c r="I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62A9-5862-4240-842D-2BB009F4C76A}">
  <dimension ref="A1:F53"/>
  <sheetViews>
    <sheetView workbookViewId="0">
      <selection activeCell="A53" sqref="A53"/>
    </sheetView>
  </sheetViews>
  <sheetFormatPr defaultRowHeight="15" x14ac:dyDescent="0.25"/>
  <cols>
    <col min="4" max="4" width="17.28515625" bestFit="1" customWidth="1"/>
    <col min="5" max="5" width="15.140625" bestFit="1" customWidth="1"/>
  </cols>
  <sheetData>
    <row r="1" spans="1:6" x14ac:dyDescent="0.25">
      <c r="A1" t="s">
        <v>13</v>
      </c>
      <c r="B1" t="s">
        <v>14</v>
      </c>
      <c r="D1" t="s">
        <v>15</v>
      </c>
      <c r="E1" t="s">
        <v>16</v>
      </c>
      <c r="F1" t="s">
        <v>118</v>
      </c>
    </row>
    <row r="2" spans="1:6" x14ac:dyDescent="0.25">
      <c r="A2">
        <v>1</v>
      </c>
      <c r="B2" t="s">
        <v>17</v>
      </c>
      <c r="C2" t="s">
        <v>68</v>
      </c>
      <c r="D2" s="3">
        <v>39512223</v>
      </c>
      <c r="E2" s="5">
        <v>0.1191</v>
      </c>
    </row>
    <row r="3" spans="1:6" x14ac:dyDescent="0.25">
      <c r="A3">
        <v>2</v>
      </c>
      <c r="B3" t="s">
        <v>18</v>
      </c>
      <c r="C3" t="s">
        <v>78</v>
      </c>
      <c r="D3" s="3">
        <v>28995881</v>
      </c>
      <c r="E3" s="5">
        <v>8.7400000000000005E-2</v>
      </c>
    </row>
    <row r="4" spans="1:6" x14ac:dyDescent="0.25">
      <c r="A4">
        <v>3</v>
      </c>
      <c r="B4" t="s">
        <v>19</v>
      </c>
      <c r="C4" t="s">
        <v>69</v>
      </c>
      <c r="D4" s="3">
        <v>21477737</v>
      </c>
      <c r="E4" s="5">
        <v>6.4699999999999994E-2</v>
      </c>
    </row>
    <row r="5" spans="1:6" x14ac:dyDescent="0.25">
      <c r="A5">
        <v>4</v>
      </c>
      <c r="B5" t="s">
        <v>20</v>
      </c>
      <c r="C5" t="s">
        <v>79</v>
      </c>
      <c r="D5" s="3">
        <v>19453561</v>
      </c>
      <c r="E5" s="5">
        <v>5.8599999999999999E-2</v>
      </c>
    </row>
    <row r="6" spans="1:6" x14ac:dyDescent="0.25">
      <c r="A6">
        <v>5</v>
      </c>
      <c r="B6" t="s">
        <v>21</v>
      </c>
      <c r="C6" t="s">
        <v>12</v>
      </c>
      <c r="D6" s="3">
        <v>12671821</v>
      </c>
      <c r="E6" s="5">
        <v>3.8600000000000002E-2</v>
      </c>
    </row>
    <row r="7" spans="1:6" x14ac:dyDescent="0.25">
      <c r="A7">
        <v>6</v>
      </c>
      <c r="B7" t="s">
        <v>22</v>
      </c>
      <c r="C7" t="s">
        <v>4</v>
      </c>
      <c r="D7" s="3">
        <v>12801989</v>
      </c>
      <c r="E7" s="5">
        <v>3.8199999999999998E-2</v>
      </c>
    </row>
    <row r="8" spans="1:6" x14ac:dyDescent="0.25">
      <c r="A8">
        <v>7</v>
      </c>
      <c r="B8" t="s">
        <v>23</v>
      </c>
      <c r="C8" t="s">
        <v>71</v>
      </c>
      <c r="D8" s="3">
        <v>11689100</v>
      </c>
      <c r="E8" s="5">
        <v>3.5200000000000002E-2</v>
      </c>
    </row>
    <row r="9" spans="1:6" x14ac:dyDescent="0.25">
      <c r="A9">
        <v>8</v>
      </c>
      <c r="B9" t="s">
        <v>24</v>
      </c>
      <c r="C9" t="s">
        <v>80</v>
      </c>
      <c r="D9" s="3">
        <v>10617423</v>
      </c>
      <c r="E9" s="5">
        <v>3.2000000000000001E-2</v>
      </c>
    </row>
    <row r="10" spans="1:6" x14ac:dyDescent="0.25">
      <c r="A10">
        <v>9</v>
      </c>
      <c r="B10" t="s">
        <v>25</v>
      </c>
      <c r="C10" t="s">
        <v>81</v>
      </c>
      <c r="D10" s="3">
        <v>10488084</v>
      </c>
      <c r="E10" s="5">
        <v>3.1600000000000003E-2</v>
      </c>
    </row>
    <row r="11" spans="1:6" x14ac:dyDescent="0.25">
      <c r="A11">
        <v>10</v>
      </c>
      <c r="B11" t="s">
        <v>26</v>
      </c>
      <c r="C11" t="s">
        <v>72</v>
      </c>
      <c r="D11" s="3">
        <v>9986857</v>
      </c>
      <c r="E11" s="5">
        <v>3.0099999999999998E-2</v>
      </c>
    </row>
    <row r="12" spans="1:6" x14ac:dyDescent="0.25">
      <c r="A12">
        <v>11</v>
      </c>
      <c r="B12" t="s">
        <v>27</v>
      </c>
      <c r="C12" t="s">
        <v>3</v>
      </c>
      <c r="D12" s="3">
        <v>8882190</v>
      </c>
      <c r="E12" s="5">
        <v>2.6800000000000001E-2</v>
      </c>
    </row>
    <row r="13" spans="1:6" x14ac:dyDescent="0.25">
      <c r="A13">
        <v>12</v>
      </c>
      <c r="B13" t="s">
        <v>28</v>
      </c>
      <c r="C13" t="s">
        <v>82</v>
      </c>
      <c r="D13" s="3">
        <v>8535519</v>
      </c>
      <c r="E13" s="5">
        <v>2.5700000000000001E-2</v>
      </c>
    </row>
    <row r="14" spans="1:6" x14ac:dyDescent="0.25">
      <c r="A14">
        <v>13</v>
      </c>
      <c r="B14" t="s">
        <v>29</v>
      </c>
      <c r="C14" t="s">
        <v>73</v>
      </c>
      <c r="D14" s="3">
        <v>7614893</v>
      </c>
      <c r="E14" s="5">
        <v>2.29E-2</v>
      </c>
    </row>
    <row r="15" spans="1:6" x14ac:dyDescent="0.25">
      <c r="A15">
        <v>14</v>
      </c>
      <c r="B15" t="s">
        <v>30</v>
      </c>
      <c r="C15" t="s">
        <v>83</v>
      </c>
      <c r="D15" s="3">
        <v>7278717</v>
      </c>
      <c r="E15" s="5">
        <v>2.1899999999999999E-2</v>
      </c>
    </row>
    <row r="16" spans="1:6" x14ac:dyDescent="0.25">
      <c r="A16">
        <v>15</v>
      </c>
      <c r="B16" t="s">
        <v>31</v>
      </c>
      <c r="C16" t="s">
        <v>75</v>
      </c>
      <c r="D16" s="3">
        <v>6949503</v>
      </c>
      <c r="E16" s="5">
        <v>2.0899999999999998E-2</v>
      </c>
    </row>
    <row r="17" spans="1:5" x14ac:dyDescent="0.25">
      <c r="A17">
        <v>16</v>
      </c>
      <c r="B17" t="s">
        <v>32</v>
      </c>
      <c r="C17" t="s">
        <v>84</v>
      </c>
      <c r="D17" s="3">
        <v>6833174</v>
      </c>
      <c r="E17" s="5">
        <v>2.06E-2</v>
      </c>
    </row>
    <row r="18" spans="1:5" x14ac:dyDescent="0.25">
      <c r="A18">
        <v>17</v>
      </c>
      <c r="B18" t="s">
        <v>33</v>
      </c>
      <c r="C18" t="s">
        <v>76</v>
      </c>
      <c r="D18" s="3">
        <v>6732219</v>
      </c>
      <c r="E18" s="5">
        <v>2.0299999999999999E-2</v>
      </c>
    </row>
    <row r="19" spans="1:5" x14ac:dyDescent="0.25">
      <c r="A19">
        <v>18</v>
      </c>
      <c r="B19" t="s">
        <v>34</v>
      </c>
      <c r="C19" t="s">
        <v>99</v>
      </c>
      <c r="D19" s="3">
        <v>6137428</v>
      </c>
      <c r="E19" s="5">
        <v>1.8499999999999999E-2</v>
      </c>
    </row>
    <row r="20" spans="1:5" x14ac:dyDescent="0.25">
      <c r="A20">
        <v>19</v>
      </c>
      <c r="B20" t="s">
        <v>35</v>
      </c>
      <c r="C20" t="s">
        <v>86</v>
      </c>
      <c r="D20" s="3">
        <v>6045680</v>
      </c>
      <c r="E20" s="5">
        <v>1.8200000000000001E-2</v>
      </c>
    </row>
    <row r="21" spans="1:5" x14ac:dyDescent="0.25">
      <c r="A21">
        <v>20</v>
      </c>
      <c r="B21" t="s">
        <v>36</v>
      </c>
      <c r="C21" t="s">
        <v>77</v>
      </c>
      <c r="D21" s="3">
        <v>5822434</v>
      </c>
      <c r="E21" s="5">
        <v>1.7500000000000002E-2</v>
      </c>
    </row>
    <row r="22" spans="1:5" x14ac:dyDescent="0.25">
      <c r="A22">
        <v>21</v>
      </c>
      <c r="B22" t="s">
        <v>37</v>
      </c>
      <c r="C22" t="s">
        <v>11</v>
      </c>
      <c r="D22" s="3">
        <v>5758736</v>
      </c>
      <c r="E22" s="5">
        <v>1.7399999999999999E-2</v>
      </c>
    </row>
    <row r="23" spans="1:5" x14ac:dyDescent="0.25">
      <c r="A23">
        <v>22</v>
      </c>
      <c r="B23" t="s">
        <v>38</v>
      </c>
      <c r="C23" t="s">
        <v>87</v>
      </c>
      <c r="D23" s="3">
        <v>5639632</v>
      </c>
      <c r="E23" s="5">
        <v>1.7000000000000001E-2</v>
      </c>
    </row>
    <row r="24" spans="1:5" x14ac:dyDescent="0.25">
      <c r="A24">
        <v>23</v>
      </c>
      <c r="B24" t="s">
        <v>39</v>
      </c>
      <c r="C24" t="s">
        <v>88</v>
      </c>
      <c r="D24" s="3">
        <v>5148714</v>
      </c>
      <c r="E24" s="5">
        <v>1.55E-2</v>
      </c>
    </row>
    <row r="25" spans="1:5" x14ac:dyDescent="0.25">
      <c r="A25">
        <v>24</v>
      </c>
      <c r="B25" t="s">
        <v>40</v>
      </c>
      <c r="C25" t="s">
        <v>89</v>
      </c>
      <c r="D25" s="3">
        <v>4903185</v>
      </c>
      <c r="E25" s="5">
        <v>1.4800000000000001E-2</v>
      </c>
    </row>
    <row r="26" spans="1:5" x14ac:dyDescent="0.25">
      <c r="A26">
        <v>25</v>
      </c>
      <c r="B26" t="s">
        <v>41</v>
      </c>
      <c r="C26" t="s">
        <v>90</v>
      </c>
      <c r="D26" s="3">
        <v>4648794</v>
      </c>
      <c r="E26" s="5">
        <v>1.4E-2</v>
      </c>
    </row>
    <row r="27" spans="1:5" x14ac:dyDescent="0.25">
      <c r="A27">
        <v>26</v>
      </c>
      <c r="B27" t="s">
        <v>42</v>
      </c>
      <c r="C27" t="s">
        <v>91</v>
      </c>
      <c r="D27" s="3">
        <v>4467673</v>
      </c>
      <c r="E27" s="5">
        <v>1.35E-2</v>
      </c>
    </row>
    <row r="28" spans="1:5" x14ac:dyDescent="0.25">
      <c r="A28">
        <v>27</v>
      </c>
      <c r="B28" t="s">
        <v>43</v>
      </c>
      <c r="C28" t="s">
        <v>92</v>
      </c>
      <c r="D28" s="3">
        <v>4217737</v>
      </c>
      <c r="E28" s="5">
        <v>1.2699999999999999E-2</v>
      </c>
    </row>
    <row r="29" spans="1:5" x14ac:dyDescent="0.25">
      <c r="A29">
        <v>28</v>
      </c>
      <c r="B29" t="s">
        <v>44</v>
      </c>
      <c r="C29" t="s">
        <v>93</v>
      </c>
      <c r="D29" s="3">
        <v>3956971</v>
      </c>
      <c r="E29" s="5">
        <v>1.1900000000000001E-2</v>
      </c>
    </row>
    <row r="30" spans="1:5" x14ac:dyDescent="0.25">
      <c r="A30">
        <v>29</v>
      </c>
      <c r="B30" t="s">
        <v>45</v>
      </c>
      <c r="C30" t="s">
        <v>94</v>
      </c>
      <c r="D30" s="3">
        <v>3565287</v>
      </c>
      <c r="E30" s="5">
        <v>1.0699999999999999E-2</v>
      </c>
    </row>
    <row r="31" spans="1:5" x14ac:dyDescent="0.25">
      <c r="A31">
        <v>30</v>
      </c>
      <c r="B31" t="s">
        <v>46</v>
      </c>
      <c r="C31" t="s">
        <v>95</v>
      </c>
      <c r="D31" s="3">
        <v>3205958</v>
      </c>
      <c r="E31" s="5">
        <v>9.7000000000000003E-3</v>
      </c>
    </row>
    <row r="32" spans="1:5" x14ac:dyDescent="0.25">
      <c r="A32">
        <v>31</v>
      </c>
      <c r="B32" t="s">
        <v>47</v>
      </c>
      <c r="C32" t="s">
        <v>96</v>
      </c>
      <c r="D32" s="3">
        <v>3155070</v>
      </c>
      <c r="E32" s="5">
        <v>9.4999999999999998E-3</v>
      </c>
    </row>
    <row r="33" spans="1:5" x14ac:dyDescent="0.25">
      <c r="A33">
        <v>32</v>
      </c>
      <c r="B33" t="s">
        <v>48</v>
      </c>
      <c r="C33" t="s">
        <v>97</v>
      </c>
      <c r="D33" s="3">
        <v>3080156</v>
      </c>
      <c r="E33" s="5">
        <v>9.2999999999999992E-3</v>
      </c>
    </row>
    <row r="34" spans="1:5" x14ac:dyDescent="0.25">
      <c r="A34">
        <v>33</v>
      </c>
      <c r="B34" t="s">
        <v>49</v>
      </c>
      <c r="C34" t="s">
        <v>74</v>
      </c>
      <c r="D34" s="3">
        <v>3017825</v>
      </c>
      <c r="E34" s="5">
        <v>9.1000000000000004E-3</v>
      </c>
    </row>
    <row r="35" spans="1:5" x14ac:dyDescent="0.25">
      <c r="A35">
        <v>34</v>
      </c>
      <c r="B35" t="s">
        <v>50</v>
      </c>
      <c r="C35" t="s">
        <v>85</v>
      </c>
      <c r="D35" s="3">
        <v>2976149</v>
      </c>
      <c r="E35" s="5">
        <v>8.9999999999999993E-3</v>
      </c>
    </row>
    <row r="36" spans="1:5" x14ac:dyDescent="0.25">
      <c r="A36">
        <v>35</v>
      </c>
      <c r="B36" t="s">
        <v>51</v>
      </c>
      <c r="C36" t="s">
        <v>100</v>
      </c>
      <c r="D36" s="3">
        <v>2913314</v>
      </c>
      <c r="E36" s="5">
        <v>8.8000000000000005E-3</v>
      </c>
    </row>
    <row r="37" spans="1:5" x14ac:dyDescent="0.25">
      <c r="A37">
        <v>36</v>
      </c>
      <c r="B37" t="s">
        <v>52</v>
      </c>
      <c r="C37" t="s">
        <v>101</v>
      </c>
      <c r="D37" s="3">
        <v>2096829</v>
      </c>
      <c r="E37" s="5">
        <v>6.3E-3</v>
      </c>
    </row>
    <row r="38" spans="1:5" x14ac:dyDescent="0.25">
      <c r="A38">
        <v>37</v>
      </c>
      <c r="B38" t="s">
        <v>53</v>
      </c>
      <c r="C38" t="s">
        <v>70</v>
      </c>
      <c r="D38" s="3">
        <v>1934408</v>
      </c>
      <c r="E38" s="5">
        <v>5.7999999999999996E-3</v>
      </c>
    </row>
    <row r="39" spans="1:5" x14ac:dyDescent="0.25">
      <c r="A39">
        <v>38</v>
      </c>
      <c r="B39" t="s">
        <v>54</v>
      </c>
      <c r="C39" t="s">
        <v>102</v>
      </c>
      <c r="D39" s="3">
        <v>1792147</v>
      </c>
      <c r="E39" s="5">
        <v>5.4000000000000003E-3</v>
      </c>
    </row>
    <row r="40" spans="1:5" x14ac:dyDescent="0.25">
      <c r="A40">
        <v>39</v>
      </c>
      <c r="B40" t="s">
        <v>55</v>
      </c>
      <c r="C40" t="s">
        <v>104</v>
      </c>
      <c r="D40" s="3">
        <v>1787065</v>
      </c>
      <c r="E40" s="5">
        <v>5.4000000000000003E-3</v>
      </c>
    </row>
    <row r="41" spans="1:5" x14ac:dyDescent="0.25">
      <c r="A41">
        <v>40</v>
      </c>
      <c r="B41" t="s">
        <v>56</v>
      </c>
      <c r="C41" t="s">
        <v>105</v>
      </c>
      <c r="D41" s="3">
        <v>1415872</v>
      </c>
      <c r="E41" s="5">
        <v>4.3E-3</v>
      </c>
    </row>
    <row r="42" spans="1:5" x14ac:dyDescent="0.25">
      <c r="A42">
        <v>41</v>
      </c>
      <c r="B42" t="s">
        <v>57</v>
      </c>
      <c r="C42" t="s">
        <v>103</v>
      </c>
      <c r="D42" s="3">
        <v>1359711</v>
      </c>
      <c r="E42" s="5">
        <v>4.1000000000000003E-3</v>
      </c>
    </row>
    <row r="43" spans="1:5" x14ac:dyDescent="0.25">
      <c r="A43">
        <v>42</v>
      </c>
      <c r="B43" t="s">
        <v>58</v>
      </c>
      <c r="C43" t="s">
        <v>106</v>
      </c>
      <c r="D43" s="3">
        <v>1344212</v>
      </c>
      <c r="E43" s="5">
        <v>4.1000000000000003E-3</v>
      </c>
    </row>
    <row r="44" spans="1:5" x14ac:dyDescent="0.25">
      <c r="A44">
        <v>43</v>
      </c>
      <c r="B44" t="s">
        <v>59</v>
      </c>
      <c r="C44" t="s">
        <v>107</v>
      </c>
      <c r="D44" s="3">
        <v>1068778</v>
      </c>
      <c r="E44" s="5">
        <v>3.2000000000000002E-3</v>
      </c>
    </row>
    <row r="45" spans="1:5" x14ac:dyDescent="0.25">
      <c r="A45">
        <v>44</v>
      </c>
      <c r="B45" t="s">
        <v>60</v>
      </c>
      <c r="C45" t="s">
        <v>108</v>
      </c>
      <c r="D45" s="3">
        <v>1059361</v>
      </c>
      <c r="E45" s="5">
        <v>3.2000000000000002E-3</v>
      </c>
    </row>
    <row r="46" spans="1:5" x14ac:dyDescent="0.25">
      <c r="A46">
        <v>45</v>
      </c>
      <c r="B46" t="s">
        <v>61</v>
      </c>
      <c r="C46" t="s">
        <v>110</v>
      </c>
      <c r="D46" s="3">
        <v>973764</v>
      </c>
      <c r="E46" s="5">
        <v>2.8999999999999998E-3</v>
      </c>
    </row>
    <row r="47" spans="1:5" x14ac:dyDescent="0.25">
      <c r="A47">
        <v>46</v>
      </c>
      <c r="B47" t="s">
        <v>62</v>
      </c>
      <c r="C47" t="s">
        <v>109</v>
      </c>
      <c r="D47" s="3">
        <v>884659</v>
      </c>
      <c r="E47" s="5">
        <v>2.7000000000000001E-3</v>
      </c>
    </row>
    <row r="48" spans="1:5" x14ac:dyDescent="0.25">
      <c r="A48">
        <v>47</v>
      </c>
      <c r="B48" t="s">
        <v>63</v>
      </c>
      <c r="C48" t="s">
        <v>111</v>
      </c>
      <c r="D48" s="3">
        <v>762062</v>
      </c>
      <c r="E48" s="5">
        <v>2.3E-3</v>
      </c>
    </row>
    <row r="49" spans="1:5" x14ac:dyDescent="0.25">
      <c r="A49">
        <v>48</v>
      </c>
      <c r="B49" t="s">
        <v>64</v>
      </c>
      <c r="C49" t="s">
        <v>98</v>
      </c>
      <c r="D49" s="3">
        <v>731545</v>
      </c>
      <c r="E49" s="5">
        <v>2.2000000000000001E-3</v>
      </c>
    </row>
    <row r="50" spans="1:5" x14ac:dyDescent="0.25">
      <c r="A50">
        <v>49</v>
      </c>
      <c r="B50" t="s">
        <v>65</v>
      </c>
      <c r="C50" t="s">
        <v>65</v>
      </c>
      <c r="D50" s="3">
        <v>705749</v>
      </c>
      <c r="E50" s="5">
        <v>2.0999999999999999E-3</v>
      </c>
    </row>
    <row r="51" spans="1:5" x14ac:dyDescent="0.25">
      <c r="A51">
        <v>50</v>
      </c>
      <c r="B51" t="s">
        <v>66</v>
      </c>
      <c r="C51" t="s">
        <v>112</v>
      </c>
      <c r="D51" s="3">
        <v>623989</v>
      </c>
      <c r="E51" s="5">
        <v>1.9E-3</v>
      </c>
    </row>
    <row r="52" spans="1:5" x14ac:dyDescent="0.25">
      <c r="A52">
        <v>51</v>
      </c>
      <c r="B52" t="s">
        <v>67</v>
      </c>
      <c r="C52" t="s">
        <v>113</v>
      </c>
      <c r="D52" s="3">
        <v>578759</v>
      </c>
      <c r="E52" s="5">
        <v>1.6999999999999999E-3</v>
      </c>
    </row>
    <row r="53" spans="1:5" x14ac:dyDescent="0.25">
      <c r="B53" t="s">
        <v>132</v>
      </c>
      <c r="D53">
        <f>37.59*1000000</f>
        <v>37590000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800C-64AE-436B-841D-4786437977CD}">
  <dimension ref="A1:U55"/>
  <sheetViews>
    <sheetView tabSelected="1" topLeftCell="H5" workbookViewId="0">
      <selection activeCell="J16" sqref="J16"/>
    </sheetView>
  </sheetViews>
  <sheetFormatPr defaultRowHeight="15" x14ac:dyDescent="0.25"/>
  <cols>
    <col min="1" max="1" width="10.7109375" bestFit="1" customWidth="1"/>
    <col min="2" max="2" width="12.5703125" bestFit="1" customWidth="1"/>
    <col min="4" max="4" width="12" bestFit="1" customWidth="1"/>
    <col min="5" max="5" width="15.28515625" bestFit="1" customWidth="1"/>
    <col min="6" max="6" width="12" bestFit="1" customWidth="1"/>
    <col min="7" max="7" width="16.28515625" bestFit="1" customWidth="1"/>
    <col min="10" max="10" width="32.5703125" bestFit="1" customWidth="1"/>
    <col min="11" max="11" width="11.28515625" customWidth="1"/>
    <col min="12" max="12" width="14.85546875" bestFit="1" customWidth="1"/>
    <col min="13" max="14" width="14.7109375" bestFit="1" customWidth="1"/>
    <col min="15" max="15" width="14.28515625" bestFit="1" customWidth="1"/>
    <col min="16" max="16" width="12.42578125" bestFit="1" customWidth="1"/>
    <col min="17" max="17" width="14.7109375" bestFit="1" customWidth="1"/>
    <col min="18" max="18" width="12.5703125" bestFit="1" customWidth="1"/>
    <col min="20" max="20" width="10.85546875" bestFit="1" customWidth="1"/>
  </cols>
  <sheetData>
    <row r="1" spans="1:19" x14ac:dyDescent="0.25">
      <c r="A1" s="15" t="s">
        <v>161</v>
      </c>
      <c r="B1" s="15" t="s">
        <v>162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 t="s">
        <v>180</v>
      </c>
      <c r="J1" s="16"/>
      <c r="K1" s="17" t="s">
        <v>164</v>
      </c>
      <c r="L1" s="18" t="s">
        <v>144</v>
      </c>
    </row>
    <row r="2" spans="1:19" x14ac:dyDescent="0.25">
      <c r="A2">
        <f>VLOOKUP(B2,Population!C:D,2,FALSE)</f>
        <v>39512223</v>
      </c>
      <c r="B2" t="s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 s="19" t="s">
        <v>165</v>
      </c>
      <c r="K2" s="20">
        <f>MonthlyRev!L6</f>
        <v>2.5826123379774382</v>
      </c>
      <c r="L2" s="21" t="s">
        <v>166</v>
      </c>
    </row>
    <row r="3" spans="1:19" x14ac:dyDescent="0.25">
      <c r="A3">
        <f>VLOOKUP(B3,Population!C:D,2,FALSE)</f>
        <v>28995881</v>
      </c>
      <c r="B3" t="s">
        <v>78</v>
      </c>
      <c r="C3">
        <v>0</v>
      </c>
      <c r="D3">
        <v>0</v>
      </c>
      <c r="E3">
        <f t="shared" ref="E3:E13" si="0">A3*$K$2*H3</f>
        <v>56163840.015844189</v>
      </c>
      <c r="F3">
        <f t="shared" ref="F3:F13" si="1">A3*H3*$K$2</f>
        <v>56163840.015844181</v>
      </c>
      <c r="G3">
        <f t="shared" ref="G3:G13" si="2">A3*H3*$K$2</f>
        <v>56163840.015844181</v>
      </c>
      <c r="H3">
        <v>0.75</v>
      </c>
      <c r="J3" s="19" t="s">
        <v>163</v>
      </c>
      <c r="K3" s="22">
        <f>G54/1000000000*12</f>
        <v>5.3409682410488521</v>
      </c>
      <c r="L3" s="21" t="s">
        <v>166</v>
      </c>
    </row>
    <row r="4" spans="1:19" ht="15.75" thickBot="1" x14ac:dyDescent="0.3">
      <c r="A4">
        <f>VLOOKUP(B4,Population!C:D,2,FALSE)</f>
        <v>21477737</v>
      </c>
      <c r="B4" t="s">
        <v>69</v>
      </c>
      <c r="C4">
        <v>0</v>
      </c>
      <c r="D4">
        <v>0</v>
      </c>
      <c r="E4">
        <f t="shared" si="0"/>
        <v>27734334.284017265</v>
      </c>
      <c r="F4">
        <f t="shared" si="1"/>
        <v>27734334.284017265</v>
      </c>
      <c r="G4">
        <f t="shared" si="2"/>
        <v>27734334.284017265</v>
      </c>
      <c r="H4">
        <v>0.5</v>
      </c>
      <c r="J4" s="23" t="s">
        <v>163</v>
      </c>
      <c r="K4" s="24">
        <f>((0.9*8)+K3)/2</f>
        <v>6.2704841205244257</v>
      </c>
      <c r="L4" s="25" t="s">
        <v>169</v>
      </c>
    </row>
    <row r="5" spans="1:19" x14ac:dyDescent="0.25">
      <c r="A5">
        <f>VLOOKUP(B5,Population!C:D,2,FALSE)</f>
        <v>19453561</v>
      </c>
      <c r="B5" t="s">
        <v>79</v>
      </c>
      <c r="C5">
        <v>0</v>
      </c>
      <c r="D5">
        <v>0</v>
      </c>
      <c r="E5">
        <f t="shared" si="0"/>
        <v>25120503.328098357</v>
      </c>
      <c r="F5">
        <f t="shared" si="1"/>
        <v>25120503.328098357</v>
      </c>
      <c r="G5">
        <f t="shared" si="2"/>
        <v>25120503.328098357</v>
      </c>
      <c r="H5">
        <v>0.5</v>
      </c>
    </row>
    <row r="6" spans="1:19" x14ac:dyDescent="0.25">
      <c r="A6">
        <f>VLOOKUP(B6,Population!C:D,2,FALSE)</f>
        <v>12671821</v>
      </c>
      <c r="B6" t="s">
        <v>12</v>
      </c>
      <c r="C6">
        <v>0</v>
      </c>
      <c r="D6">
        <f>A6*H6*$K$2</f>
        <v>32726401.2592416</v>
      </c>
      <c r="E6">
        <f t="shared" si="0"/>
        <v>32726401.2592416</v>
      </c>
      <c r="F6">
        <f t="shared" si="1"/>
        <v>32726401.2592416</v>
      </c>
      <c r="G6">
        <f t="shared" si="2"/>
        <v>32726401.2592416</v>
      </c>
      <c r="H6">
        <v>1</v>
      </c>
    </row>
    <row r="7" spans="1:19" x14ac:dyDescent="0.25">
      <c r="A7">
        <f>VLOOKUP(B7,Population!C:D,2,FALSE)</f>
        <v>12801989</v>
      </c>
      <c r="B7" t="s">
        <v>4</v>
      </c>
      <c r="C7">
        <v>0</v>
      </c>
      <c r="D7">
        <f>A7*H7*$K$2</f>
        <v>33062574.742051445</v>
      </c>
      <c r="E7">
        <f t="shared" si="0"/>
        <v>33062574.742051445</v>
      </c>
      <c r="F7">
        <f t="shared" si="1"/>
        <v>33062574.742051445</v>
      </c>
      <c r="G7">
        <f t="shared" si="2"/>
        <v>33062574.742051445</v>
      </c>
      <c r="H7">
        <v>1</v>
      </c>
      <c r="L7" s="46" t="s">
        <v>133</v>
      </c>
      <c r="M7" s="46"/>
      <c r="N7" s="46" t="s">
        <v>132</v>
      </c>
      <c r="O7" s="46"/>
      <c r="P7" t="s">
        <v>119</v>
      </c>
    </row>
    <row r="8" spans="1:19" x14ac:dyDescent="0.25">
      <c r="A8">
        <f>VLOOKUP(B8,Population!C:D,2,FALSE)</f>
        <v>11689100</v>
      </c>
      <c r="B8" t="s">
        <v>71</v>
      </c>
      <c r="C8">
        <v>0</v>
      </c>
      <c r="D8">
        <v>0</v>
      </c>
      <c r="E8">
        <f t="shared" si="0"/>
        <v>15094206.939926036</v>
      </c>
      <c r="F8">
        <f t="shared" si="1"/>
        <v>15094206.939926036</v>
      </c>
      <c r="G8">
        <f t="shared" si="2"/>
        <v>15094206.939926036</v>
      </c>
      <c r="H8">
        <v>0.5</v>
      </c>
      <c r="K8" t="s">
        <v>170</v>
      </c>
      <c r="L8" t="s">
        <v>126</v>
      </c>
      <c r="M8" t="s">
        <v>130</v>
      </c>
      <c r="N8" t="s">
        <v>126</v>
      </c>
      <c r="O8" t="s">
        <v>130</v>
      </c>
      <c r="P8" t="s">
        <v>130</v>
      </c>
    </row>
    <row r="9" spans="1:19" x14ac:dyDescent="0.25">
      <c r="A9">
        <f>VLOOKUP(B9,Population!C:D,2,FALSE)</f>
        <v>10617423</v>
      </c>
      <c r="B9" t="s">
        <v>80</v>
      </c>
      <c r="C9">
        <v>0</v>
      </c>
      <c r="D9">
        <v>0</v>
      </c>
      <c r="E9">
        <f t="shared" si="0"/>
        <v>13710343.818662712</v>
      </c>
      <c r="F9">
        <f t="shared" si="1"/>
        <v>13710343.818662712</v>
      </c>
      <c r="G9">
        <f t="shared" si="2"/>
        <v>13710343.818662712</v>
      </c>
      <c r="H9">
        <v>0.5</v>
      </c>
      <c r="K9" t="s">
        <v>120</v>
      </c>
      <c r="L9" s="8">
        <v>0.2</v>
      </c>
      <c r="M9" s="9">
        <f t="shared" ref="M9:M17" si="3">$K$4*L9*1000</f>
        <v>1254.0968241048854</v>
      </c>
      <c r="N9" s="8">
        <v>0.1</v>
      </c>
      <c r="O9" s="9">
        <f t="shared" ref="O9:O17" si="4">$G$53*12/1000000*N9</f>
        <v>87.372358006114723</v>
      </c>
      <c r="P9" s="9">
        <f>M9+O9</f>
        <v>1341.469182111</v>
      </c>
      <c r="Q9" s="9"/>
    </row>
    <row r="10" spans="1:19" x14ac:dyDescent="0.25">
      <c r="A10">
        <f>VLOOKUP(B10,Population!C:D,2,FALSE)</f>
        <v>10488084</v>
      </c>
      <c r="B10" t="s">
        <v>81</v>
      </c>
      <c r="C10">
        <v>0</v>
      </c>
      <c r="D10">
        <v>0</v>
      </c>
      <c r="E10">
        <f t="shared" si="0"/>
        <v>13543327.570071882</v>
      </c>
      <c r="F10">
        <f t="shared" si="1"/>
        <v>13543327.570071882</v>
      </c>
      <c r="G10">
        <f t="shared" si="2"/>
        <v>13543327.570071882</v>
      </c>
      <c r="H10">
        <v>0.5</v>
      </c>
      <c r="K10" t="s">
        <v>121</v>
      </c>
      <c r="L10" s="8">
        <v>0.12</v>
      </c>
      <c r="M10" s="9">
        <f t="shared" si="3"/>
        <v>752.45809446293106</v>
      </c>
      <c r="N10" s="8">
        <v>0.1</v>
      </c>
      <c r="O10" s="9">
        <f t="shared" si="4"/>
        <v>87.372358006114723</v>
      </c>
      <c r="P10" s="9">
        <f t="shared" ref="P10:P17" si="5">M10+O10</f>
        <v>839.83045246904578</v>
      </c>
      <c r="Q10" s="9"/>
      <c r="S10" s="8"/>
    </row>
    <row r="11" spans="1:19" x14ac:dyDescent="0.25">
      <c r="A11">
        <f>VLOOKUP(B11,Population!C:D,2,FALSE)</f>
        <v>9986857</v>
      </c>
      <c r="B11" t="s">
        <v>72</v>
      </c>
      <c r="C11">
        <v>0</v>
      </c>
      <c r="D11">
        <f>A11*H11*$K$2</f>
        <v>25792180.105816346</v>
      </c>
      <c r="E11">
        <f t="shared" si="0"/>
        <v>25792180.105816346</v>
      </c>
      <c r="F11">
        <f t="shared" si="1"/>
        <v>25792180.105816346</v>
      </c>
      <c r="G11">
        <f t="shared" si="2"/>
        <v>25792180.105816346</v>
      </c>
      <c r="H11">
        <v>1</v>
      </c>
      <c r="K11" t="s">
        <v>125</v>
      </c>
      <c r="L11" s="8">
        <v>0.11</v>
      </c>
      <c r="M11" s="9">
        <f t="shared" si="3"/>
        <v>689.75325325768688</v>
      </c>
      <c r="N11" s="8">
        <v>0.05</v>
      </c>
      <c r="O11" s="9">
        <f t="shared" si="4"/>
        <v>43.686179003057362</v>
      </c>
      <c r="P11" s="9">
        <f t="shared" si="5"/>
        <v>733.4394322607443</v>
      </c>
      <c r="Q11" s="9"/>
    </row>
    <row r="12" spans="1:19" x14ac:dyDescent="0.25">
      <c r="A12">
        <f>VLOOKUP(B12,Population!C:D,2,FALSE)</f>
        <v>8882190</v>
      </c>
      <c r="B12" t="s">
        <v>3</v>
      </c>
      <c r="C12">
        <v>0</v>
      </c>
      <c r="D12">
        <f>A12*H12*$K$2</f>
        <v>22939253.482259821</v>
      </c>
      <c r="E12">
        <f t="shared" si="0"/>
        <v>22939253.482259821</v>
      </c>
      <c r="F12">
        <f t="shared" si="1"/>
        <v>22939253.482259821</v>
      </c>
      <c r="G12">
        <f t="shared" si="2"/>
        <v>22939253.482259821</v>
      </c>
      <c r="H12">
        <v>1</v>
      </c>
      <c r="K12" t="s">
        <v>122</v>
      </c>
      <c r="L12" s="8">
        <v>0.1</v>
      </c>
      <c r="M12" s="9">
        <f t="shared" si="3"/>
        <v>627.0484120524427</v>
      </c>
      <c r="N12" s="8">
        <v>0.05</v>
      </c>
      <c r="O12" s="9">
        <f t="shared" si="4"/>
        <v>43.686179003057362</v>
      </c>
      <c r="P12" s="9">
        <f t="shared" si="5"/>
        <v>670.7345910555</v>
      </c>
      <c r="Q12" s="9"/>
    </row>
    <row r="13" spans="1:19" x14ac:dyDescent="0.25">
      <c r="A13">
        <f>VLOOKUP(B13,Population!C:D,2,FALSE)</f>
        <v>8535519</v>
      </c>
      <c r="B13" t="s">
        <v>82</v>
      </c>
      <c r="C13">
        <v>0</v>
      </c>
      <c r="D13">
        <f>A13*H13*$K$2</f>
        <v>22043936.680440847</v>
      </c>
      <c r="E13">
        <f t="shared" si="0"/>
        <v>22043936.680440847</v>
      </c>
      <c r="F13">
        <f t="shared" si="1"/>
        <v>22043936.680440847</v>
      </c>
      <c r="G13">
        <f t="shared" si="2"/>
        <v>22043936.680440847</v>
      </c>
      <c r="H13">
        <v>1</v>
      </c>
      <c r="K13" t="s">
        <v>128</v>
      </c>
      <c r="L13" s="8">
        <v>0.09</v>
      </c>
      <c r="M13" s="9">
        <f t="shared" si="3"/>
        <v>564.34357084719829</v>
      </c>
      <c r="N13" s="8">
        <v>0.05</v>
      </c>
      <c r="O13" s="9">
        <f t="shared" si="4"/>
        <v>43.686179003057362</v>
      </c>
      <c r="P13" s="9">
        <f t="shared" si="5"/>
        <v>608.02974985025571</v>
      </c>
      <c r="Q13" s="9"/>
    </row>
    <row r="14" spans="1:19" x14ac:dyDescent="0.25">
      <c r="A14">
        <f>VLOOKUP(B14,Population!C:D,2,FALSE)</f>
        <v>7614893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123</v>
      </c>
      <c r="L14" s="8">
        <v>7.0000000000000007E-2</v>
      </c>
      <c r="M14" s="9">
        <f t="shared" si="3"/>
        <v>438.93388843670982</v>
      </c>
      <c r="N14" s="8">
        <v>0.05</v>
      </c>
      <c r="O14" s="9">
        <f t="shared" si="4"/>
        <v>43.686179003057362</v>
      </c>
      <c r="P14" s="9">
        <f t="shared" si="5"/>
        <v>482.62006743976718</v>
      </c>
      <c r="Q14" s="9"/>
    </row>
    <row r="15" spans="1:19" x14ac:dyDescent="0.25">
      <c r="A15">
        <f>VLOOKUP(B15,Population!C:D,2,FALSE)</f>
        <v>7278717</v>
      </c>
      <c r="B15" t="s">
        <v>83</v>
      </c>
      <c r="C15">
        <v>0</v>
      </c>
      <c r="D15">
        <v>0</v>
      </c>
      <c r="E15">
        <v>0</v>
      </c>
      <c r="F15">
        <v>0</v>
      </c>
      <c r="G15">
        <f t="shared" ref="G15:G20" si="6">A15*H15*$K$2</f>
        <v>1879810.4328846126</v>
      </c>
      <c r="H15">
        <v>0.1</v>
      </c>
      <c r="K15" t="s">
        <v>124</v>
      </c>
      <c r="L15" s="8">
        <v>0.05</v>
      </c>
      <c r="M15" s="9">
        <f t="shared" si="3"/>
        <v>313.52420602622135</v>
      </c>
      <c r="N15" s="8">
        <v>0.1</v>
      </c>
      <c r="O15" s="9">
        <f t="shared" si="4"/>
        <v>87.372358006114723</v>
      </c>
      <c r="P15" s="9">
        <f t="shared" si="5"/>
        <v>400.89656403233607</v>
      </c>
      <c r="Q15" s="9"/>
      <c r="S15" s="9"/>
    </row>
    <row r="16" spans="1:19" x14ac:dyDescent="0.25">
      <c r="A16">
        <f>VLOOKUP(B16,Population!C:D,2,FALSE)</f>
        <v>6949503</v>
      </c>
      <c r="B16" t="s">
        <v>75</v>
      </c>
      <c r="C16">
        <v>0</v>
      </c>
      <c r="D16">
        <v>0</v>
      </c>
      <c r="E16">
        <v>0</v>
      </c>
      <c r="F16">
        <f>A16*H16*$K$2</f>
        <v>13460904.142958416</v>
      </c>
      <c r="G16">
        <f t="shared" si="6"/>
        <v>13460904.142958416</v>
      </c>
      <c r="H16">
        <v>0.75</v>
      </c>
      <c r="K16" t="s">
        <v>127</v>
      </c>
      <c r="L16" s="8">
        <v>0.05</v>
      </c>
      <c r="M16" s="9">
        <f t="shared" si="3"/>
        <v>313.52420602622135</v>
      </c>
      <c r="N16" s="8">
        <v>0.05</v>
      </c>
      <c r="O16" s="9">
        <f t="shared" si="4"/>
        <v>43.686179003057362</v>
      </c>
      <c r="P16" s="9">
        <f t="shared" si="5"/>
        <v>357.21038502927871</v>
      </c>
      <c r="Q16" s="9"/>
    </row>
    <row r="17" spans="1:21" x14ac:dyDescent="0.25">
      <c r="A17">
        <f>VLOOKUP(B17,Population!C:D,2,FALSE)</f>
        <v>6833174</v>
      </c>
      <c r="B17" t="s">
        <v>84</v>
      </c>
      <c r="C17">
        <v>0</v>
      </c>
      <c r="D17">
        <f>A17*H17*$K$2</f>
        <v>17647439.479946643</v>
      </c>
      <c r="E17">
        <f>A17*$K$2*H17</f>
        <v>17647439.479946643</v>
      </c>
      <c r="F17">
        <f>A17*H17*$K$2</f>
        <v>17647439.479946643</v>
      </c>
      <c r="G17">
        <f t="shared" si="6"/>
        <v>17647439.479946643</v>
      </c>
      <c r="H17">
        <v>1</v>
      </c>
      <c r="K17" t="s">
        <v>129</v>
      </c>
      <c r="L17" s="8">
        <v>0.21</v>
      </c>
      <c r="M17" s="9">
        <f t="shared" si="3"/>
        <v>1316.8016653101292</v>
      </c>
      <c r="N17" s="8">
        <f>1-SUM(N9:N16)</f>
        <v>0.44999999999999996</v>
      </c>
      <c r="O17" s="9">
        <f t="shared" si="4"/>
        <v>393.1756110275162</v>
      </c>
      <c r="P17" s="9">
        <f t="shared" si="5"/>
        <v>1709.9772763376454</v>
      </c>
      <c r="Q17" s="9"/>
    </row>
    <row r="18" spans="1:21" x14ac:dyDescent="0.25">
      <c r="A18">
        <f>VLOOKUP(B18,Population!C:D,2,FALSE)</f>
        <v>6732219</v>
      </c>
      <c r="B18" t="s">
        <v>76</v>
      </c>
      <c r="C18">
        <v>0</v>
      </c>
      <c r="D18">
        <f>A18*H18*$K$2</f>
        <v>17386711.851366132</v>
      </c>
      <c r="E18">
        <f>A18*$K$2*H18</f>
        <v>17386711.851366132</v>
      </c>
      <c r="F18">
        <f>A18*H18*$K$2</f>
        <v>17386711.851366132</v>
      </c>
      <c r="G18">
        <f t="shared" si="6"/>
        <v>17386711.851366132</v>
      </c>
      <c r="H18">
        <v>1</v>
      </c>
      <c r="L18" s="8">
        <f>SUM(L9:L17)</f>
        <v>1</v>
      </c>
      <c r="M18" s="9">
        <f>SUM(M9:M17)</f>
        <v>6270.4841205244265</v>
      </c>
      <c r="N18" s="8">
        <f>SUM(N9:N17)</f>
        <v>1</v>
      </c>
      <c r="O18" s="9">
        <f>SUM(O9:O17)</f>
        <v>873.72358006114723</v>
      </c>
      <c r="P18" s="9">
        <f>SUM(P9:P17)</f>
        <v>7144.2077005855717</v>
      </c>
      <c r="Q18" s="9"/>
      <c r="S18" s="8"/>
    </row>
    <row r="19" spans="1:21" ht="15.75" thickBot="1" x14ac:dyDescent="0.3">
      <c r="A19">
        <f>VLOOKUP(B19,Population!C:D,2,FALSE)</f>
        <v>6137428</v>
      </c>
      <c r="B19" t="s">
        <v>99</v>
      </c>
      <c r="C19">
        <v>0</v>
      </c>
      <c r="D19">
        <f>A19*H19*$K$2</f>
        <v>7925298.6381240962</v>
      </c>
      <c r="E19">
        <f>A19*$K$2*H19</f>
        <v>7925298.6381240962</v>
      </c>
      <c r="F19">
        <f>A19*H19*$K$2</f>
        <v>7925298.6381240962</v>
      </c>
      <c r="G19">
        <f t="shared" si="6"/>
        <v>7925298.6381240962</v>
      </c>
      <c r="H19">
        <v>0.5</v>
      </c>
    </row>
    <row r="20" spans="1:21" ht="16.5" thickBot="1" x14ac:dyDescent="0.3">
      <c r="A20">
        <f>VLOOKUP(B20,Population!C:D,2,FALSE)</f>
        <v>6045680</v>
      </c>
      <c r="B20" t="s">
        <v>86</v>
      </c>
      <c r="C20">
        <v>0</v>
      </c>
      <c r="D20">
        <f>A20*H20*$K$2</f>
        <v>15613647.759463439</v>
      </c>
      <c r="E20">
        <f>A20*$K$2*H20</f>
        <v>15613647.759463439</v>
      </c>
      <c r="F20">
        <f>A20*H20*$K$2</f>
        <v>15613647.759463439</v>
      </c>
      <c r="G20">
        <f t="shared" si="6"/>
        <v>15613647.759463439</v>
      </c>
      <c r="H20">
        <v>1</v>
      </c>
      <c r="K20" s="28"/>
      <c r="L20" s="43">
        <v>2021</v>
      </c>
      <c r="M20" s="44"/>
      <c r="N20" s="44"/>
      <c r="O20" s="44"/>
      <c r="P20" s="45"/>
      <c r="Q20" s="43">
        <v>2025</v>
      </c>
      <c r="R20" s="44"/>
      <c r="S20" s="44"/>
      <c r="T20" s="44"/>
      <c r="U20" s="45"/>
    </row>
    <row r="21" spans="1:21" x14ac:dyDescent="0.25">
      <c r="A21">
        <f>VLOOKUP(B21,Population!C:D,2,FALSE)</f>
        <v>5822434</v>
      </c>
      <c r="B21" t="s">
        <v>77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 s="38" t="s">
        <v>170</v>
      </c>
      <c r="L21" s="41" t="s">
        <v>171</v>
      </c>
      <c r="M21" s="41" t="s">
        <v>143</v>
      </c>
      <c r="N21" s="41" t="s">
        <v>140</v>
      </c>
      <c r="O21" s="41" t="s">
        <v>141</v>
      </c>
      <c r="P21" s="41" t="s">
        <v>142</v>
      </c>
      <c r="Q21" s="41" t="s">
        <v>140</v>
      </c>
      <c r="R21" s="41" t="s">
        <v>141</v>
      </c>
      <c r="S21" s="41" t="s">
        <v>142</v>
      </c>
      <c r="T21" s="41" t="s">
        <v>143</v>
      </c>
      <c r="U21" s="42" t="s">
        <v>138</v>
      </c>
    </row>
    <row r="22" spans="1:21" x14ac:dyDescent="0.25">
      <c r="A22">
        <f>VLOOKUP(B22,Population!C:D,2,FALSE)</f>
        <v>5758736</v>
      </c>
      <c r="B22" t="s">
        <v>11</v>
      </c>
      <c r="C22">
        <v>0</v>
      </c>
      <c r="D22">
        <f>A22*H22*$K$2</f>
        <v>14872582.64475484</v>
      </c>
      <c r="E22">
        <f>A22*$K$2*H22</f>
        <v>14872582.64475484</v>
      </c>
      <c r="F22">
        <f>A22*H22*$K$2</f>
        <v>14872582.64475484</v>
      </c>
      <c r="G22">
        <f>A22*H22*$K$2</f>
        <v>14872582.64475484</v>
      </c>
      <c r="H22">
        <v>1</v>
      </c>
      <c r="K22" s="29" t="s">
        <v>121</v>
      </c>
      <c r="L22" s="31">
        <f>N22/M22</f>
        <v>397.67649687220734</v>
      </c>
      <c r="M22" s="30">
        <v>67.14</v>
      </c>
      <c r="N22" s="30">
        <v>26700</v>
      </c>
      <c r="O22" s="30">
        <v>615</v>
      </c>
      <c r="P22" s="32">
        <f>N22/O22</f>
        <v>43.414634146341463</v>
      </c>
      <c r="Q22" s="33">
        <f>R22*S22</f>
        <v>25194.913574071372</v>
      </c>
      <c r="R22" s="33">
        <f>P10</f>
        <v>839.83045246904578</v>
      </c>
      <c r="S22" s="30">
        <v>30</v>
      </c>
      <c r="T22" s="33">
        <f>Q22/L22</f>
        <v>63.355299526709807</v>
      </c>
      <c r="U22" s="34">
        <f>(R22/O22)^(1/4)-1</f>
        <v>8.1008541752773722E-2</v>
      </c>
    </row>
    <row r="23" spans="1:21" ht="15.75" thickBot="1" x14ac:dyDescent="0.3">
      <c r="A23">
        <f>VLOOKUP(B23,Population!C:D,2,FALSE)</f>
        <v>5639632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s="40" t="s">
        <v>139</v>
      </c>
      <c r="L23" s="35">
        <f>N23/M23</f>
        <v>52.161486245087531</v>
      </c>
      <c r="M23" s="26">
        <v>27.99</v>
      </c>
      <c r="N23" s="26">
        <f>1.46*1000</f>
        <v>1460</v>
      </c>
      <c r="O23" s="26">
        <v>20.7</v>
      </c>
      <c r="P23" s="36">
        <f>N23/O23</f>
        <v>70.531400966183583</v>
      </c>
      <c r="Q23" s="27">
        <f>R23*S23</f>
        <v>12026.896920970083</v>
      </c>
      <c r="R23" s="27">
        <f>P15</f>
        <v>400.89656403233607</v>
      </c>
      <c r="S23" s="26">
        <v>30</v>
      </c>
      <c r="T23" s="39">
        <f>Q23/L23</f>
        <v>230.57044165613192</v>
      </c>
      <c r="U23" s="37">
        <f>(R23/O23)^(1/4)-1</f>
        <v>1.097806840162713</v>
      </c>
    </row>
    <row r="24" spans="1:21" x14ac:dyDescent="0.25">
      <c r="A24">
        <f>VLOOKUP(B24,Population!C:D,2,FALSE)</f>
        <v>5148714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21" x14ac:dyDescent="0.25">
      <c r="A25">
        <f>VLOOKUP(B25,Population!C:D,2,FALSE)</f>
        <v>4903185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21" x14ac:dyDescent="0.25">
      <c r="A26">
        <f>VLOOKUP(B26,Population!C:D,2,FALSE)</f>
        <v>4648794</v>
      </c>
      <c r="B26" t="s">
        <v>90</v>
      </c>
      <c r="C26">
        <v>0</v>
      </c>
      <c r="D26">
        <f>A26*H26*$K$2</f>
        <v>12006032.741115486</v>
      </c>
      <c r="E26">
        <f>A26*$K$2*H26</f>
        <v>12006032.741115486</v>
      </c>
      <c r="F26">
        <f>A26*H26*$K$2</f>
        <v>12006032.741115486</v>
      </c>
      <c r="G26">
        <f>A26*H26*$K$2</f>
        <v>12006032.741115486</v>
      </c>
      <c r="H26">
        <v>1</v>
      </c>
    </row>
    <row r="27" spans="1:21" x14ac:dyDescent="0.25">
      <c r="A27">
        <f>VLOOKUP(B27,Population!C:D,2,FALSE)</f>
        <v>4467673</v>
      </c>
      <c r="B27" t="s">
        <v>91</v>
      </c>
      <c r="C27">
        <v>0</v>
      </c>
      <c r="D27">
        <v>0</v>
      </c>
      <c r="E27">
        <f>A27*$K$2*H27</f>
        <v>5769133.7059243377</v>
      </c>
      <c r="F27">
        <f>A27*H27*$K$2</f>
        <v>5769133.7059243377</v>
      </c>
      <c r="G27">
        <f>A27*H27*$K$2</f>
        <v>5769133.7059243377</v>
      </c>
      <c r="H27">
        <v>0.5</v>
      </c>
    </row>
    <row r="28" spans="1:21" x14ac:dyDescent="0.25">
      <c r="A28">
        <f>VLOOKUP(B28,Population!C:D,2,FALSE)</f>
        <v>4217737</v>
      </c>
      <c r="B28" t="s">
        <v>92</v>
      </c>
      <c r="C28">
        <v>0</v>
      </c>
      <c r="D28">
        <f>A28*H28*$K$2</f>
        <v>10892779.614543946</v>
      </c>
      <c r="E28">
        <f>A28*$K$2*H28</f>
        <v>10892779.614543946</v>
      </c>
      <c r="F28">
        <f>A28*H28*$K$2</f>
        <v>10892779.614543946</v>
      </c>
      <c r="G28">
        <f>A28*H28*$K$2</f>
        <v>10892779.614543946</v>
      </c>
      <c r="H28">
        <v>1</v>
      </c>
    </row>
    <row r="29" spans="1:21" x14ac:dyDescent="0.25">
      <c r="A29">
        <f>VLOOKUP(B29,Population!C:D,2,FALSE)</f>
        <v>3956971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144</v>
      </c>
    </row>
    <row r="30" spans="1:21" x14ac:dyDescent="0.25">
      <c r="A30">
        <f>VLOOKUP(B30,Population!C:D,2,FALSE)</f>
        <v>3565287</v>
      </c>
      <c r="B30" t="s">
        <v>94</v>
      </c>
      <c r="C30">
        <v>0</v>
      </c>
      <c r="D30">
        <f>A30*H30*$K$2</f>
        <v>4603877.0973152835</v>
      </c>
      <c r="E30">
        <f>A30*$K$2*H30</f>
        <v>4603877.0973152835</v>
      </c>
      <c r="F30">
        <f>A30*H30*$K$2</f>
        <v>4603877.0973152835</v>
      </c>
      <c r="G30">
        <f>A30*H30*$K$2</f>
        <v>4603877.0973152835</v>
      </c>
      <c r="H30">
        <v>0.5</v>
      </c>
      <c r="K30" t="s">
        <v>145</v>
      </c>
    </row>
    <row r="31" spans="1:21" x14ac:dyDescent="0.25">
      <c r="A31">
        <f>VLOOKUP(B31,Population!C:D,2,FALSE)</f>
        <v>3205958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146</v>
      </c>
    </row>
    <row r="32" spans="1:21" x14ac:dyDescent="0.25">
      <c r="A32">
        <f>VLOOKUP(B32,Population!C:D,2,FALSE)</f>
        <v>3155070</v>
      </c>
      <c r="B32" t="s">
        <v>96</v>
      </c>
      <c r="C32">
        <v>0</v>
      </c>
      <c r="D32">
        <f>A32*H32*$K$2</f>
        <v>8148322.7091824757</v>
      </c>
      <c r="E32">
        <f>A32*$K$2*H32</f>
        <v>8148322.7091824757</v>
      </c>
      <c r="F32">
        <f>A32*H32*$K$2</f>
        <v>8148322.7091824757</v>
      </c>
      <c r="G32">
        <f>A32*H32*$K$2</f>
        <v>8148322.7091824757</v>
      </c>
      <c r="H32">
        <v>1</v>
      </c>
      <c r="K32" t="s">
        <v>147</v>
      </c>
    </row>
    <row r="33" spans="1:11" x14ac:dyDescent="0.25">
      <c r="A33">
        <f>VLOOKUP(B33,Population!C:D,2,FALSE)</f>
        <v>3080156</v>
      </c>
      <c r="B33" t="s">
        <v>97</v>
      </c>
      <c r="C33">
        <v>0</v>
      </c>
      <c r="D33">
        <f>A33*H33*$K$2</f>
        <v>7954848.8884952338</v>
      </c>
      <c r="E33">
        <f>A33*$K$2*H33</f>
        <v>7954848.8884952338</v>
      </c>
      <c r="F33">
        <f>A33*H33*$K$2</f>
        <v>7954848.8884952338</v>
      </c>
      <c r="G33">
        <f>A33*H33*$K$2</f>
        <v>7954848.8884952338</v>
      </c>
      <c r="H33">
        <v>1</v>
      </c>
      <c r="K33" t="s">
        <v>148</v>
      </c>
    </row>
    <row r="34" spans="1:11" x14ac:dyDescent="0.25">
      <c r="A34">
        <f>VLOOKUP(B34,Population!C:D,2,FALSE)</f>
        <v>3017825</v>
      </c>
      <c r="B34" t="s">
        <v>74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149</v>
      </c>
    </row>
    <row r="35" spans="1:11" x14ac:dyDescent="0.25">
      <c r="A35">
        <f>VLOOKUP(B35,Population!C:D,2,FALSE)</f>
        <v>2976149</v>
      </c>
      <c r="B35" t="s">
        <v>85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150</v>
      </c>
    </row>
    <row r="36" spans="1:11" x14ac:dyDescent="0.25">
      <c r="A36">
        <f>VLOOKUP(B36,Population!C:D,2,FALSE)</f>
        <v>2913314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151</v>
      </c>
    </row>
    <row r="37" spans="1:11" x14ac:dyDescent="0.25">
      <c r="A37">
        <f>VLOOKUP(B37,Population!C:D,2,FALSE)</f>
        <v>2096829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179</v>
      </c>
    </row>
    <row r="38" spans="1:11" x14ac:dyDescent="0.25">
      <c r="A38">
        <f>VLOOKUP(B38,Population!C:D,2,FALSE)</f>
        <v>1934408</v>
      </c>
      <c r="B38" t="s">
        <v>70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11" x14ac:dyDescent="0.25">
      <c r="A39">
        <f>VLOOKUP(B39,Population!C:D,2,FALSE)</f>
        <v>1792147</v>
      </c>
      <c r="B39" t="s">
        <v>102</v>
      </c>
      <c r="C39">
        <v>0</v>
      </c>
      <c r="D39">
        <f>A39*H39*$K$2</f>
        <v>4628420.9536692519</v>
      </c>
      <c r="E39">
        <f>A39*$K$2*H39</f>
        <v>4628420.9536692519</v>
      </c>
      <c r="F39">
        <f>A39*H39*$K$2</f>
        <v>4628420.9536692519</v>
      </c>
      <c r="G39">
        <f>A39*H39*$K$2</f>
        <v>4628420.9536692519</v>
      </c>
      <c r="H39">
        <v>1</v>
      </c>
    </row>
    <row r="40" spans="1:11" x14ac:dyDescent="0.25">
      <c r="A40">
        <f>VLOOKUP(B40,Population!C:D,2,FALSE)</f>
        <v>1787065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1" x14ac:dyDescent="0.25">
      <c r="A41">
        <f>VLOOKUP(B41,Population!C:D,2,FALSE)</f>
        <v>1415872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11" x14ac:dyDescent="0.25">
      <c r="A42">
        <f>VLOOKUP(B42,Population!C:D,2,FALSE)</f>
        <v>1359711</v>
      </c>
      <c r="B42" t="s">
        <v>103</v>
      </c>
      <c r="C42">
        <v>0</v>
      </c>
      <c r="D42">
        <f>A42*H42*$K$2</f>
        <v>3511606.4046836402</v>
      </c>
      <c r="E42">
        <f>A42*$K$2*H42</f>
        <v>3511606.4046836402</v>
      </c>
      <c r="F42">
        <f>A42*H42*$K$2</f>
        <v>3511606.4046836402</v>
      </c>
      <c r="G42">
        <f>A42*H42*$K$2</f>
        <v>3511606.4046836402</v>
      </c>
      <c r="H42">
        <v>1</v>
      </c>
    </row>
    <row r="43" spans="1:11" x14ac:dyDescent="0.25">
      <c r="A43">
        <f>VLOOKUP(B43,Population!C:D,2,FALSE)</f>
        <v>1344212</v>
      </c>
      <c r="B43" t="s">
        <v>106</v>
      </c>
      <c r="C43">
        <v>0</v>
      </c>
      <c r="D43">
        <v>0</v>
      </c>
      <c r="E43">
        <f>A43*$K$2*H43</f>
        <v>1735789.2480286642</v>
      </c>
      <c r="F43">
        <f>A43*H43*$K$2</f>
        <v>1735789.2480286642</v>
      </c>
      <c r="G43">
        <f>A43*H43*$K$2</f>
        <v>1735789.2480286642</v>
      </c>
      <c r="H43">
        <v>0.5</v>
      </c>
    </row>
    <row r="44" spans="1:11" x14ac:dyDescent="0.25">
      <c r="A44">
        <f>VLOOKUP(B44,Population!C:D,2,FALSE)</f>
        <v>1068778</v>
      </c>
      <c r="B44" t="s">
        <v>107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11" x14ac:dyDescent="0.25">
      <c r="A45">
        <f>VLOOKUP(B45,Population!C:D,2,FALSE)</f>
        <v>1059361</v>
      </c>
      <c r="B45" t="s">
        <v>108</v>
      </c>
      <c r="C45">
        <v>0</v>
      </c>
      <c r="D45">
        <f>A45*H45*$K$2</f>
        <v>2735918.788972117</v>
      </c>
      <c r="E45">
        <f>A45*$K$2*H45</f>
        <v>2735918.788972117</v>
      </c>
      <c r="F45">
        <f>A45*H45*$K$2</f>
        <v>2735918.788972117</v>
      </c>
      <c r="G45">
        <f>A45*H45*$K$2</f>
        <v>2735918.788972117</v>
      </c>
      <c r="H45">
        <v>1</v>
      </c>
    </row>
    <row r="46" spans="1:11" x14ac:dyDescent="0.25">
      <c r="A46">
        <f>VLOOKUP(B46,Population!C:D,2,FALSE)</f>
        <v>973764</v>
      </c>
      <c r="B46" t="s">
        <v>110</v>
      </c>
      <c r="C46">
        <v>0</v>
      </c>
      <c r="D46">
        <f>A46*H46*$K$2</f>
        <v>2514854.9206782621</v>
      </c>
      <c r="E46">
        <f>A46*$K$2*H46</f>
        <v>2514854.9206782621</v>
      </c>
      <c r="F46">
        <f>A46*H46*$K$2</f>
        <v>2514854.9206782621</v>
      </c>
      <c r="G46">
        <f>A46*H46*$K$2</f>
        <v>2514854.9206782621</v>
      </c>
      <c r="H46">
        <v>1</v>
      </c>
    </row>
    <row r="47" spans="1:11" x14ac:dyDescent="0.25">
      <c r="A47">
        <f>VLOOKUP(B47,Population!C:D,2,FALSE)</f>
        <v>884659</v>
      </c>
      <c r="B47" t="s">
        <v>109</v>
      </c>
      <c r="C47">
        <v>0</v>
      </c>
      <c r="D47">
        <v>0</v>
      </c>
      <c r="E47">
        <f>A47*$K$2*H47</f>
        <v>1142365.6241513912</v>
      </c>
      <c r="F47">
        <f>A47*H47*$K$2</f>
        <v>1142365.6241513912</v>
      </c>
      <c r="G47">
        <f>A47*H47*$K$2</f>
        <v>1142365.6241513912</v>
      </c>
      <c r="H47">
        <v>0.5</v>
      </c>
    </row>
    <row r="48" spans="1:11" x14ac:dyDescent="0.25">
      <c r="A48">
        <f>VLOOKUP(B48,Population!C:D,2,FALSE)</f>
        <v>762062</v>
      </c>
      <c r="B48" t="s">
        <v>111</v>
      </c>
      <c r="C48">
        <v>0</v>
      </c>
      <c r="D48">
        <v>0</v>
      </c>
      <c r="E48">
        <f>A48*$K$2*H48</f>
        <v>984055.3617518812</v>
      </c>
      <c r="F48">
        <f>A48*H48*$K$2</f>
        <v>984055.3617518812</v>
      </c>
      <c r="G48">
        <f>A48*H48*$K$2</f>
        <v>984055.3617518812</v>
      </c>
      <c r="H48">
        <v>0.5</v>
      </c>
    </row>
    <row r="49" spans="1:8" x14ac:dyDescent="0.25">
      <c r="A49">
        <f>VLOOKUP(B49,Population!C:D,2,FALSE)</f>
        <v>731545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f>VLOOKUP(B50,Population!C:D,2,FALSE)</f>
        <v>705749</v>
      </c>
      <c r="B50" t="s">
        <v>65</v>
      </c>
      <c r="C50">
        <v>0</v>
      </c>
      <c r="D50">
        <v>0</v>
      </c>
      <c r="E50">
        <f>A50*$K$2*H50</f>
        <v>182267.60749152393</v>
      </c>
      <c r="F50">
        <f>A50*H50*$K$2</f>
        <v>182267.60749152393</v>
      </c>
      <c r="G50">
        <f>A50*H50*$K$2</f>
        <v>182267.60749152393</v>
      </c>
      <c r="H50">
        <v>0.1</v>
      </c>
    </row>
    <row r="51" spans="1:8" x14ac:dyDescent="0.25">
      <c r="A51">
        <f>VLOOKUP(B51,Population!C:D,2,FALSE)</f>
        <v>623989</v>
      </c>
      <c r="B51" t="s">
        <v>112</v>
      </c>
      <c r="C51">
        <v>0</v>
      </c>
      <c r="D51">
        <v>0</v>
      </c>
      <c r="E51">
        <f>A51*$K$2*H51</f>
        <v>805760.84508110187</v>
      </c>
      <c r="F51">
        <f>A51*H51*$K$2</f>
        <v>805760.84508110187</v>
      </c>
      <c r="G51">
        <f>A51*H51*$K$2</f>
        <v>805760.84508110187</v>
      </c>
      <c r="H51">
        <v>0.5</v>
      </c>
    </row>
    <row r="52" spans="1:8" x14ac:dyDescent="0.25">
      <c r="A52">
        <f>VLOOKUP(B52,Population!C:D,2,FALSE)</f>
        <v>578759</v>
      </c>
      <c r="B52" t="s">
        <v>113</v>
      </c>
      <c r="C52">
        <v>0</v>
      </c>
      <c r="D52">
        <v>0</v>
      </c>
      <c r="E52">
        <f>A52*$K$2*H52</f>
        <v>747355.06705774204</v>
      </c>
      <c r="F52">
        <f>A52*H52*$K$2</f>
        <v>747355.06705774204</v>
      </c>
      <c r="G52">
        <f>A52*H52*$K$2</f>
        <v>747355.06705774204</v>
      </c>
      <c r="H52">
        <v>0.5</v>
      </c>
    </row>
    <row r="53" spans="1:8" ht="15.75" thickBot="1" x14ac:dyDescent="0.3">
      <c r="A53" s="26">
        <f>Population!D53</f>
        <v>37590000</v>
      </c>
      <c r="B53" s="26" t="s">
        <v>132</v>
      </c>
      <c r="C53" s="26">
        <v>0</v>
      </c>
      <c r="D53" s="26">
        <v>0</v>
      </c>
      <c r="E53" s="27">
        <f>A53*$K$2*H53</f>
        <v>72810298.338428929</v>
      </c>
      <c r="F53" s="26">
        <f>A53*H53*$K$2</f>
        <v>72810298.338428929</v>
      </c>
      <c r="G53" s="27">
        <f>A53*H53*$K$2</f>
        <v>72810298.338428929</v>
      </c>
      <c r="H53" s="26">
        <v>0.75</v>
      </c>
    </row>
    <row r="54" spans="1:8" x14ac:dyDescent="0.25">
      <c r="A54" s="46" t="s">
        <v>167</v>
      </c>
      <c r="B54" s="46"/>
      <c r="C54">
        <f>SUM(C2:C52)</f>
        <v>0</v>
      </c>
      <c r="D54">
        <f>SUM(D2:D52)</f>
        <v>267006688.7621209</v>
      </c>
      <c r="E54">
        <f>SUM(E2:E53)</f>
        <v>502550270.51665699</v>
      </c>
      <c r="F54">
        <f>SUM(F2:F53)</f>
        <v>516011174.6596154</v>
      </c>
      <c r="G54">
        <f>SUM(G2:G52)</f>
        <v>445080686.75407106</v>
      </c>
    </row>
    <row r="55" spans="1:8" x14ac:dyDescent="0.25">
      <c r="A55" s="46" t="s">
        <v>168</v>
      </c>
      <c r="B55" s="46"/>
      <c r="G55" s="9">
        <f>SUM(G53:G54)</f>
        <v>517890985.09249997</v>
      </c>
    </row>
  </sheetData>
  <mergeCells count="6">
    <mergeCell ref="A55:B55"/>
    <mergeCell ref="L20:P20"/>
    <mergeCell ref="Q20:U20"/>
    <mergeCell ref="L7:M7"/>
    <mergeCell ref="N7:O7"/>
    <mergeCell ref="A54:B5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D445-678F-4D4C-AEC5-D5F02ADD82B4}">
  <dimension ref="A1:K6"/>
  <sheetViews>
    <sheetView workbookViewId="0">
      <selection sqref="A1:G4"/>
    </sheetView>
  </sheetViews>
  <sheetFormatPr defaultRowHeight="15" x14ac:dyDescent="0.25"/>
  <cols>
    <col min="2" max="2" width="14.7109375" bestFit="1" customWidth="1"/>
    <col min="3" max="3" width="12.42578125" bestFit="1" customWidth="1"/>
    <col min="4" max="4" width="12.42578125" customWidth="1"/>
    <col min="5" max="5" width="14.7109375" bestFit="1" customWidth="1"/>
    <col min="6" max="6" width="12.42578125" bestFit="1" customWidth="1"/>
    <col min="10" max="10" width="10.85546875" bestFit="1" customWidth="1"/>
  </cols>
  <sheetData>
    <row r="1" spans="1:11" x14ac:dyDescent="0.25">
      <c r="B1">
        <v>2021</v>
      </c>
      <c r="E1">
        <v>2025</v>
      </c>
      <c r="J1">
        <v>2021</v>
      </c>
      <c r="K1">
        <v>2025</v>
      </c>
    </row>
    <row r="2" spans="1:11" x14ac:dyDescent="0.25">
      <c r="B2" t="s">
        <v>140</v>
      </c>
      <c r="C2" t="s">
        <v>141</v>
      </c>
      <c r="D2" t="s">
        <v>142</v>
      </c>
      <c r="E2" t="s">
        <v>140</v>
      </c>
      <c r="F2" t="s">
        <v>141</v>
      </c>
      <c r="G2" t="s">
        <v>142</v>
      </c>
      <c r="J2" t="s">
        <v>143</v>
      </c>
      <c r="K2" t="s">
        <v>143</v>
      </c>
    </row>
    <row r="3" spans="1:11" x14ac:dyDescent="0.25">
      <c r="A3" t="s">
        <v>121</v>
      </c>
      <c r="B3">
        <f>23.67*1000</f>
        <v>23670</v>
      </c>
      <c r="C3">
        <f>550</f>
        <v>550</v>
      </c>
      <c r="D3">
        <f>B3/C3</f>
        <v>43.036363636363639</v>
      </c>
      <c r="E3" s="9">
        <f>F3*G3</f>
        <v>0</v>
      </c>
      <c r="F3" s="9">
        <f>Projections!S10</f>
        <v>0</v>
      </c>
      <c r="G3">
        <v>30</v>
      </c>
    </row>
    <row r="4" spans="1:11" x14ac:dyDescent="0.25">
      <c r="A4" t="s">
        <v>139</v>
      </c>
      <c r="B4">
        <f>1.46*1000</f>
        <v>1460</v>
      </c>
      <c r="C4">
        <v>25</v>
      </c>
      <c r="D4">
        <f>B4/C4</f>
        <v>58.4</v>
      </c>
      <c r="E4" s="9">
        <f>F4*G4</f>
        <v>0</v>
      </c>
      <c r="F4" s="9">
        <f>Projections!S15</f>
        <v>0</v>
      </c>
      <c r="G4">
        <v>30</v>
      </c>
      <c r="J4">
        <v>22.8</v>
      </c>
      <c r="K4" s="9">
        <f>(E4/B4)*J4</f>
        <v>0</v>
      </c>
    </row>
    <row r="5" spans="1:11" x14ac:dyDescent="0.25">
      <c r="K5" s="9"/>
    </row>
    <row r="6" spans="1:11" x14ac:dyDescent="0.25">
      <c r="K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EBE8-C66C-47B3-BB41-A84C39970FF4}">
  <dimension ref="A1:B11"/>
  <sheetViews>
    <sheetView workbookViewId="0">
      <selection activeCell="B15" sqref="B15"/>
    </sheetView>
  </sheetViews>
  <sheetFormatPr defaultRowHeight="15" x14ac:dyDescent="0.25"/>
  <cols>
    <col min="1" max="1" width="34.7109375" bestFit="1" customWidth="1"/>
    <col min="2" max="2" width="37.5703125" customWidth="1"/>
  </cols>
  <sheetData>
    <row r="1" spans="1:2" x14ac:dyDescent="0.25">
      <c r="A1" t="s">
        <v>176</v>
      </c>
      <c r="B1" t="s">
        <v>153</v>
      </c>
    </row>
    <row r="2" spans="1:2" x14ac:dyDescent="0.25">
      <c r="A2" t="s">
        <v>154</v>
      </c>
      <c r="B2" t="s">
        <v>10</v>
      </c>
    </row>
    <row r="3" spans="1:2" x14ac:dyDescent="0.25">
      <c r="A3" t="s">
        <v>155</v>
      </c>
      <c r="B3" t="s">
        <v>152</v>
      </c>
    </row>
    <row r="4" spans="1:2" x14ac:dyDescent="0.25">
      <c r="A4" t="s">
        <v>156</v>
      </c>
      <c r="B4" t="s">
        <v>8</v>
      </c>
    </row>
    <row r="5" spans="1:2" x14ac:dyDescent="0.25">
      <c r="A5" t="s">
        <v>157</v>
      </c>
      <c r="B5" t="s">
        <v>131</v>
      </c>
    </row>
    <row r="6" spans="1:2" x14ac:dyDescent="0.25">
      <c r="A6" t="s">
        <v>160</v>
      </c>
      <c r="B6" t="s">
        <v>1</v>
      </c>
    </row>
    <row r="7" spans="1:2" x14ac:dyDescent="0.25">
      <c r="A7" t="s">
        <v>177</v>
      </c>
      <c r="B7" t="s">
        <v>9</v>
      </c>
    </row>
    <row r="8" spans="1:2" x14ac:dyDescent="0.25">
      <c r="A8" t="s">
        <v>178</v>
      </c>
      <c r="B8" s="11" t="s">
        <v>116</v>
      </c>
    </row>
    <row r="9" spans="1:2" x14ac:dyDescent="0.25">
      <c r="A9" t="s">
        <v>172</v>
      </c>
      <c r="B9" t="s">
        <v>173</v>
      </c>
    </row>
    <row r="10" spans="1:2" x14ac:dyDescent="0.25">
      <c r="A10" t="s">
        <v>175</v>
      </c>
      <c r="B10" t="s">
        <v>174</v>
      </c>
    </row>
    <row r="11" spans="1:2" x14ac:dyDescent="0.25">
      <c r="A11" t="s">
        <v>161</v>
      </c>
      <c r="B11" t="s">
        <v>181</v>
      </c>
    </row>
  </sheetData>
  <hyperlinks>
    <hyperlink ref="B8" r:id="rId1" location=":~:text=The%20sports%20betting%20industry%20in,is%20growing%20with%20relative%20speed.&amp;text=In%202021%2C%20sports%20betting%20revenue,to%20eight%20billion%20U.S.%20dollars." xr:uid="{D66BEE9C-BF39-4D77-BB5A-7B0ECE6AC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MonthlyRev_Archive</vt:lpstr>
      <vt:lpstr>MonthlyRev</vt:lpstr>
      <vt:lpstr>Population</vt:lpstr>
      <vt:lpstr>Projections</vt:lpstr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Finkelstein, Steven {PEP}</dc:creator>
  <cp:lastModifiedBy>Finkelstein, Steven {PEP}</cp:lastModifiedBy>
  <dcterms:created xsi:type="dcterms:W3CDTF">2021-03-04T04:04:02Z</dcterms:created>
  <dcterms:modified xsi:type="dcterms:W3CDTF">2021-03-22T21:04:36Z</dcterms:modified>
</cp:coreProperties>
</file>