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https://bimbfm-my.sharepoint.com/personal/lbellott_bim-bfm_com/Documents/BIM/01 Locfund Next/09 ALM/08 EEFF/"/>
    </mc:Choice>
  </mc:AlternateContent>
  <xr:revisionPtr revIDLastSave="21" documentId="11_F435877E859C26D2D7077FE4E845FE97F1831BE5" xr6:coauthVersionLast="47" xr6:coauthVersionMax="47" xr10:uidLastSave="{CF9A61F5-0D09-4141-B577-C22A56A42FB7}"/>
  <bookViews>
    <workbookView xWindow="-110" yWindow="-110" windowWidth="19420" windowHeight="10420" tabRatio="743" activeTab="5" xr2:uid="{00000000-000D-0000-FFFF-FFFF00000000}"/>
  </bookViews>
  <sheets>
    <sheet name="2020" sheetId="49" r:id="rId1"/>
    <sheet name="2021" sheetId="50" r:id="rId2"/>
    <sheet name="CUADROS DE RESPALDO" sheetId="51" state="hidden" r:id="rId3"/>
    <sheet name="CONTRY ANALYSIS" sheetId="53" r:id="rId4"/>
    <sheet name="Desembolsos" sheetId="54" r:id="rId5"/>
    <sheet name="Datos sociales" sheetId="55" r:id="rId6"/>
    <sheet name="Inversionistas" sheetId="56" r:id="rId7"/>
  </sheets>
  <definedNames>
    <definedName name="_xlnm._FilterDatabase" localSheetId="0" hidden="1">'2020'!$A$7:$G$37</definedName>
    <definedName name="_xlnm._FilterDatabase" localSheetId="5" hidden="1">'Datos sociales'!$B$2:$S$53</definedName>
    <definedName name="_xlnm.Print_Area" localSheetId="5">'Datos sociales'!#REF!</definedName>
    <definedName name="Print_AreaII" localSheetId="5">'Datos sociales'!#REF!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M23" i="56" l="1"/>
  <c r="DL23" i="56"/>
  <c r="DK23" i="56"/>
  <c r="DJ23" i="56"/>
  <c r="DI23" i="56"/>
  <c r="DH23" i="56"/>
  <c r="DG23" i="56"/>
  <c r="DF23" i="56"/>
  <c r="DE23" i="56"/>
  <c r="DD23" i="56"/>
  <c r="DC23" i="56"/>
  <c r="DB23" i="56"/>
  <c r="DA23" i="56"/>
  <c r="CZ23" i="56"/>
  <c r="CY23" i="56"/>
  <c r="CX23" i="56"/>
  <c r="CW23" i="56"/>
  <c r="CV23" i="56"/>
  <c r="CU23" i="56"/>
  <c r="CT23" i="56"/>
  <c r="CS23" i="56"/>
  <c r="CR23" i="56"/>
  <c r="CQ23" i="56"/>
  <c r="CP23" i="56"/>
  <c r="CO23" i="56"/>
  <c r="CN23" i="56"/>
  <c r="CM23" i="56"/>
  <c r="CL23" i="56"/>
  <c r="CK23" i="56"/>
  <c r="CJ23" i="56"/>
  <c r="CI23" i="56"/>
  <c r="CH23" i="56"/>
  <c r="CG23" i="56"/>
  <c r="CF23" i="56"/>
  <c r="CE23" i="56"/>
  <c r="CD23" i="56"/>
  <c r="CC23" i="56"/>
  <c r="CB23" i="56"/>
  <c r="CA23" i="56"/>
  <c r="BZ23" i="56"/>
  <c r="BY23" i="56"/>
  <c r="BX23" i="56"/>
  <c r="BW23" i="56"/>
  <c r="BV23" i="56"/>
  <c r="BU23" i="56"/>
  <c r="BT23" i="56"/>
  <c r="BS23" i="56"/>
  <c r="BR23" i="56"/>
  <c r="BQ23" i="56"/>
  <c r="BP23" i="56"/>
  <c r="BO23" i="56"/>
  <c r="BN23" i="56"/>
  <c r="BM23" i="56"/>
  <c r="BL23" i="56"/>
  <c r="BK23" i="56"/>
  <c r="BJ23" i="56"/>
  <c r="BI23" i="56"/>
  <c r="BH23" i="56"/>
  <c r="BG23" i="56"/>
  <c r="BF23" i="56"/>
  <c r="BE23" i="56"/>
  <c r="BD23" i="56"/>
  <c r="BC23" i="56"/>
  <c r="BB23" i="56"/>
  <c r="BA23" i="56"/>
  <c r="AZ23" i="56"/>
  <c r="AY23" i="56"/>
  <c r="AX23" i="56"/>
  <c r="AW23" i="56"/>
  <c r="AV23" i="56"/>
  <c r="AU23" i="56"/>
  <c r="AT23" i="56"/>
  <c r="AS23" i="56"/>
  <c r="AR23" i="56"/>
  <c r="AQ23" i="56"/>
  <c r="AP23" i="56"/>
  <c r="AO23" i="56"/>
  <c r="AN23" i="56"/>
  <c r="AM23" i="56"/>
  <c r="AL23" i="56"/>
  <c r="AK23" i="56"/>
  <c r="AJ23" i="56"/>
  <c r="AI23" i="56"/>
  <c r="AH23" i="56"/>
  <c r="AG23" i="56"/>
  <c r="AF23" i="56"/>
  <c r="AE23" i="56"/>
  <c r="AD23" i="56"/>
  <c r="AC23" i="56"/>
  <c r="AB23" i="56"/>
  <c r="AA23" i="56"/>
  <c r="Z23" i="56"/>
  <c r="Y23" i="56"/>
  <c r="X23" i="56"/>
  <c r="W23" i="56"/>
  <c r="V23" i="56"/>
  <c r="U23" i="56"/>
  <c r="T23" i="56"/>
  <c r="S23" i="56"/>
  <c r="R23" i="56"/>
  <c r="Q23" i="56"/>
  <c r="P23" i="56"/>
  <c r="O23" i="56"/>
  <c r="N23" i="56"/>
  <c r="M23" i="56"/>
  <c r="L23" i="56"/>
  <c r="K23" i="56"/>
  <c r="J23" i="56"/>
  <c r="I23" i="56"/>
  <c r="H23" i="56"/>
  <c r="G23" i="56"/>
  <c r="F23" i="56"/>
  <c r="E23" i="56"/>
  <c r="B23" i="56"/>
  <c r="C22" i="56"/>
  <c r="D22" i="56" s="1"/>
  <c r="C21" i="56"/>
  <c r="D21" i="56" s="1"/>
  <c r="C20" i="56"/>
  <c r="D20" i="56" s="1"/>
  <c r="C19" i="56"/>
  <c r="D19" i="56" s="1"/>
  <c r="D18" i="56"/>
  <c r="C18" i="56"/>
  <c r="C17" i="56"/>
  <c r="C16" i="56"/>
  <c r="D16" i="56" s="1"/>
  <c r="D15" i="56"/>
  <c r="C15" i="56"/>
  <c r="F14" i="56"/>
  <c r="G14" i="56" s="1"/>
  <c r="H14" i="56" s="1"/>
  <c r="I14" i="56" s="1"/>
  <c r="J14" i="56" s="1"/>
  <c r="K14" i="56" s="1"/>
  <c r="L14" i="56" s="1"/>
  <c r="M14" i="56" s="1"/>
  <c r="N14" i="56" s="1"/>
  <c r="O14" i="56" s="1"/>
  <c r="P14" i="56" s="1"/>
  <c r="Q14" i="56" s="1"/>
  <c r="R14" i="56" s="1"/>
  <c r="S14" i="56" s="1"/>
  <c r="T14" i="56" s="1"/>
  <c r="U14" i="56" s="1"/>
  <c r="V14" i="56" s="1"/>
  <c r="W14" i="56" s="1"/>
  <c r="X14" i="56" s="1"/>
  <c r="Y14" i="56" s="1"/>
  <c r="Z14" i="56" s="1"/>
  <c r="AA14" i="56" s="1"/>
  <c r="AB14" i="56" s="1"/>
  <c r="AC14" i="56" s="1"/>
  <c r="AD14" i="56" s="1"/>
  <c r="AE14" i="56" s="1"/>
  <c r="AF14" i="56" s="1"/>
  <c r="AG14" i="56" s="1"/>
  <c r="AH14" i="56" s="1"/>
  <c r="AI14" i="56" s="1"/>
  <c r="AJ14" i="56" s="1"/>
  <c r="AK14" i="56" s="1"/>
  <c r="AL14" i="56" s="1"/>
  <c r="AM14" i="56" s="1"/>
  <c r="AN14" i="56" s="1"/>
  <c r="AO14" i="56" s="1"/>
  <c r="AP14" i="56" s="1"/>
  <c r="AQ14" i="56" s="1"/>
  <c r="AR14" i="56" s="1"/>
  <c r="AS14" i="56" s="1"/>
  <c r="AT14" i="56" s="1"/>
  <c r="AU14" i="56" s="1"/>
  <c r="AV14" i="56" s="1"/>
  <c r="AW14" i="56" s="1"/>
  <c r="AX14" i="56" s="1"/>
  <c r="AY14" i="56" s="1"/>
  <c r="AZ14" i="56" s="1"/>
  <c r="BA14" i="56" s="1"/>
  <c r="BB14" i="56" s="1"/>
  <c r="BC14" i="56" s="1"/>
  <c r="BD14" i="56" s="1"/>
  <c r="BE14" i="56" s="1"/>
  <c r="BF14" i="56" s="1"/>
  <c r="BG14" i="56" s="1"/>
  <c r="BH14" i="56" s="1"/>
  <c r="BI14" i="56" s="1"/>
  <c r="BJ14" i="56" s="1"/>
  <c r="BK14" i="56" s="1"/>
  <c r="BL14" i="56" s="1"/>
  <c r="BM14" i="56" s="1"/>
  <c r="BN14" i="56" s="1"/>
  <c r="BO14" i="56" s="1"/>
  <c r="BP14" i="56" s="1"/>
  <c r="BQ14" i="56" s="1"/>
  <c r="BR14" i="56" s="1"/>
  <c r="BS14" i="56" s="1"/>
  <c r="BT14" i="56" s="1"/>
  <c r="BU14" i="56" s="1"/>
  <c r="BV14" i="56" s="1"/>
  <c r="BW14" i="56" s="1"/>
  <c r="BX14" i="56" s="1"/>
  <c r="BY14" i="56" s="1"/>
  <c r="BZ14" i="56" s="1"/>
  <c r="CA14" i="56" s="1"/>
  <c r="CB14" i="56" s="1"/>
  <c r="CC14" i="56" s="1"/>
  <c r="CD14" i="56" s="1"/>
  <c r="CE14" i="56" s="1"/>
  <c r="CF14" i="56" s="1"/>
  <c r="CG14" i="56" s="1"/>
  <c r="CH14" i="56" s="1"/>
  <c r="CI14" i="56" s="1"/>
  <c r="CJ14" i="56" s="1"/>
  <c r="CK14" i="56" s="1"/>
  <c r="CL14" i="56" s="1"/>
  <c r="CM14" i="56" s="1"/>
  <c r="CN14" i="56" s="1"/>
  <c r="CO14" i="56" s="1"/>
  <c r="CP14" i="56" s="1"/>
  <c r="CQ14" i="56" s="1"/>
  <c r="CR14" i="56" s="1"/>
  <c r="CS14" i="56" s="1"/>
  <c r="CT14" i="56" s="1"/>
  <c r="CU14" i="56" s="1"/>
  <c r="CV14" i="56" s="1"/>
  <c r="CW14" i="56" s="1"/>
  <c r="CX14" i="56" s="1"/>
  <c r="CY14" i="56" s="1"/>
  <c r="CZ14" i="56" s="1"/>
  <c r="DA14" i="56" s="1"/>
  <c r="DB14" i="56" s="1"/>
  <c r="DC14" i="56" s="1"/>
  <c r="DD14" i="56" s="1"/>
  <c r="DE14" i="56" s="1"/>
  <c r="DF14" i="56" s="1"/>
  <c r="DG14" i="56" s="1"/>
  <c r="DH14" i="56" s="1"/>
  <c r="DI14" i="56" s="1"/>
  <c r="DJ14" i="56" s="1"/>
  <c r="DK14" i="56" s="1"/>
  <c r="DL14" i="56" s="1"/>
  <c r="DM14" i="56" s="1"/>
  <c r="DM11" i="56"/>
  <c r="DL11" i="56"/>
  <c r="DK11" i="56"/>
  <c r="DJ11" i="56"/>
  <c r="DI11" i="56"/>
  <c r="DH11" i="56"/>
  <c r="DG11" i="56"/>
  <c r="DF11" i="56"/>
  <c r="DE11" i="56"/>
  <c r="DD11" i="56"/>
  <c r="DC11" i="56"/>
  <c r="DB11" i="56"/>
  <c r="DA11" i="56"/>
  <c r="CZ11" i="56"/>
  <c r="CY11" i="56"/>
  <c r="CX11" i="56"/>
  <c r="CW11" i="56"/>
  <c r="CV11" i="56"/>
  <c r="CU11" i="56"/>
  <c r="CT11" i="56"/>
  <c r="CS11" i="56"/>
  <c r="CR11" i="56"/>
  <c r="CQ11" i="56"/>
  <c r="CP11" i="56"/>
  <c r="CO11" i="56"/>
  <c r="CN11" i="56"/>
  <c r="CM11" i="56"/>
  <c r="CL11" i="56"/>
  <c r="CK11" i="56"/>
  <c r="CJ11" i="56"/>
  <c r="CI11" i="56"/>
  <c r="CH11" i="56"/>
  <c r="CG11" i="56"/>
  <c r="CF11" i="56"/>
  <c r="CE11" i="56"/>
  <c r="CD11" i="56"/>
  <c r="CC11" i="56"/>
  <c r="CB11" i="56"/>
  <c r="CA11" i="56"/>
  <c r="BZ11" i="56"/>
  <c r="BY11" i="56"/>
  <c r="BX11" i="56"/>
  <c r="BW11" i="56"/>
  <c r="BV11" i="56"/>
  <c r="BU11" i="56"/>
  <c r="BT11" i="56"/>
  <c r="BS11" i="56"/>
  <c r="BR11" i="56"/>
  <c r="BQ11" i="56"/>
  <c r="BP11" i="56"/>
  <c r="BO11" i="56"/>
  <c r="BN11" i="56"/>
  <c r="BM11" i="56"/>
  <c r="BL11" i="56"/>
  <c r="BK11" i="56"/>
  <c r="BJ11" i="56"/>
  <c r="BI11" i="56"/>
  <c r="BH11" i="56"/>
  <c r="BG11" i="56"/>
  <c r="BF11" i="56"/>
  <c r="BE11" i="56"/>
  <c r="BD11" i="56"/>
  <c r="BC11" i="56"/>
  <c r="BB11" i="56"/>
  <c r="BA11" i="56"/>
  <c r="AZ11" i="56"/>
  <c r="AY11" i="56"/>
  <c r="AX11" i="56"/>
  <c r="AW11" i="56"/>
  <c r="AV11" i="56"/>
  <c r="AU11" i="56"/>
  <c r="AT11" i="56"/>
  <c r="AS11" i="56"/>
  <c r="AR11" i="56"/>
  <c r="AQ11" i="56"/>
  <c r="AP11" i="56"/>
  <c r="AO11" i="56"/>
  <c r="AN11" i="56"/>
  <c r="AM11" i="56"/>
  <c r="AL11" i="56"/>
  <c r="AK11" i="56"/>
  <c r="AJ11" i="56"/>
  <c r="AI11" i="56"/>
  <c r="AH11" i="56"/>
  <c r="AG11" i="56"/>
  <c r="AF11" i="56"/>
  <c r="AE11" i="56"/>
  <c r="AD11" i="56"/>
  <c r="AC11" i="56"/>
  <c r="AB11" i="56"/>
  <c r="AA11" i="56"/>
  <c r="Z11" i="56"/>
  <c r="Y11" i="56"/>
  <c r="X11" i="56"/>
  <c r="W11" i="56"/>
  <c r="V11" i="56"/>
  <c r="U11" i="56"/>
  <c r="T11" i="56"/>
  <c r="S11" i="56"/>
  <c r="R11" i="56"/>
  <c r="Q11" i="56"/>
  <c r="P11" i="56"/>
  <c r="O11" i="56"/>
  <c r="N11" i="56"/>
  <c r="M11" i="56"/>
  <c r="L11" i="56"/>
  <c r="K11" i="56"/>
  <c r="J11" i="56"/>
  <c r="I11" i="56"/>
  <c r="H11" i="56"/>
  <c r="G11" i="56"/>
  <c r="F11" i="56"/>
  <c r="E11" i="56"/>
  <c r="B11" i="56"/>
  <c r="C10" i="56"/>
  <c r="D10" i="56" s="1"/>
  <c r="C9" i="56"/>
  <c r="D9" i="56" s="1"/>
  <c r="D8" i="56"/>
  <c r="C8" i="56"/>
  <c r="C7" i="56"/>
  <c r="D7" i="56" s="1"/>
  <c r="C6" i="56"/>
  <c r="D6" i="56" s="1"/>
  <c r="C5" i="56"/>
  <c r="D5" i="56" s="1"/>
  <c r="D4" i="56"/>
  <c r="C4" i="56"/>
  <c r="C11" i="56" s="1"/>
  <c r="D11" i="56" s="1"/>
  <c r="F3" i="56"/>
  <c r="G3" i="56" s="1"/>
  <c r="H3" i="56" s="1"/>
  <c r="I3" i="56" s="1"/>
  <c r="J3" i="56" s="1"/>
  <c r="K3" i="56" s="1"/>
  <c r="L3" i="56" s="1"/>
  <c r="M3" i="56" s="1"/>
  <c r="N3" i="56" s="1"/>
  <c r="O3" i="56" s="1"/>
  <c r="P3" i="56" s="1"/>
  <c r="Q3" i="56" s="1"/>
  <c r="R3" i="56" s="1"/>
  <c r="S3" i="56" s="1"/>
  <c r="T3" i="56" s="1"/>
  <c r="U3" i="56" s="1"/>
  <c r="V3" i="56" s="1"/>
  <c r="W3" i="56" s="1"/>
  <c r="X3" i="56" s="1"/>
  <c r="Y3" i="56" s="1"/>
  <c r="Z3" i="56" s="1"/>
  <c r="AA3" i="56" s="1"/>
  <c r="AB3" i="56" s="1"/>
  <c r="AC3" i="56" s="1"/>
  <c r="AD3" i="56" s="1"/>
  <c r="AE3" i="56" s="1"/>
  <c r="AF3" i="56" s="1"/>
  <c r="AG3" i="56" s="1"/>
  <c r="AH3" i="56" s="1"/>
  <c r="AI3" i="56" s="1"/>
  <c r="AJ3" i="56" s="1"/>
  <c r="AK3" i="56" s="1"/>
  <c r="AL3" i="56" s="1"/>
  <c r="AM3" i="56" s="1"/>
  <c r="AN3" i="56" s="1"/>
  <c r="AO3" i="56" s="1"/>
  <c r="AP3" i="56" s="1"/>
  <c r="AQ3" i="56" s="1"/>
  <c r="AR3" i="56" s="1"/>
  <c r="AS3" i="56" s="1"/>
  <c r="AT3" i="56" s="1"/>
  <c r="AU3" i="56" s="1"/>
  <c r="AV3" i="56" s="1"/>
  <c r="AW3" i="56" s="1"/>
  <c r="AX3" i="56" s="1"/>
  <c r="AY3" i="56" s="1"/>
  <c r="AZ3" i="56" s="1"/>
  <c r="BA3" i="56" s="1"/>
  <c r="BB3" i="56" s="1"/>
  <c r="BC3" i="56" s="1"/>
  <c r="BD3" i="56" s="1"/>
  <c r="BE3" i="56" s="1"/>
  <c r="BF3" i="56" s="1"/>
  <c r="BG3" i="56" s="1"/>
  <c r="BH3" i="56" s="1"/>
  <c r="BI3" i="56" s="1"/>
  <c r="BJ3" i="56" s="1"/>
  <c r="BK3" i="56" s="1"/>
  <c r="BL3" i="56" s="1"/>
  <c r="BM3" i="56" s="1"/>
  <c r="BN3" i="56" s="1"/>
  <c r="BO3" i="56" s="1"/>
  <c r="BP3" i="56" s="1"/>
  <c r="BQ3" i="56" s="1"/>
  <c r="BR3" i="56" s="1"/>
  <c r="BS3" i="56" s="1"/>
  <c r="BT3" i="56" s="1"/>
  <c r="BU3" i="56" s="1"/>
  <c r="BV3" i="56" s="1"/>
  <c r="BW3" i="56" s="1"/>
  <c r="BX3" i="56" s="1"/>
  <c r="BY3" i="56" s="1"/>
  <c r="BZ3" i="56" s="1"/>
  <c r="CA3" i="56" s="1"/>
  <c r="CB3" i="56" s="1"/>
  <c r="CC3" i="56" s="1"/>
  <c r="CD3" i="56" s="1"/>
  <c r="CE3" i="56" s="1"/>
  <c r="CF3" i="56" s="1"/>
  <c r="CG3" i="56" s="1"/>
  <c r="CH3" i="56" s="1"/>
  <c r="CI3" i="56" s="1"/>
  <c r="CJ3" i="56" s="1"/>
  <c r="CK3" i="56" s="1"/>
  <c r="CL3" i="56" s="1"/>
  <c r="CM3" i="56" s="1"/>
  <c r="CN3" i="56" s="1"/>
  <c r="CO3" i="56" s="1"/>
  <c r="CP3" i="56" s="1"/>
  <c r="CQ3" i="56" s="1"/>
  <c r="CR3" i="56" s="1"/>
  <c r="CS3" i="56" s="1"/>
  <c r="CT3" i="56" s="1"/>
  <c r="CU3" i="56" s="1"/>
  <c r="CV3" i="56" s="1"/>
  <c r="CW3" i="56" s="1"/>
  <c r="CX3" i="56" s="1"/>
  <c r="CY3" i="56" s="1"/>
  <c r="CZ3" i="56" s="1"/>
  <c r="DA3" i="56" s="1"/>
  <c r="DB3" i="56" s="1"/>
  <c r="DC3" i="56" s="1"/>
  <c r="DD3" i="56" s="1"/>
  <c r="DE3" i="56" s="1"/>
  <c r="DF3" i="56" s="1"/>
  <c r="DG3" i="56" s="1"/>
  <c r="DH3" i="56" s="1"/>
  <c r="DI3" i="56" s="1"/>
  <c r="DJ3" i="56" s="1"/>
  <c r="DK3" i="56" s="1"/>
  <c r="DL3" i="56" s="1"/>
  <c r="DM3" i="56" s="1"/>
  <c r="AU64" i="55"/>
  <c r="AT64" i="55"/>
  <c r="AS64" i="55"/>
  <c r="AR64" i="55"/>
  <c r="AJ55" i="55"/>
  <c r="L25" i="55"/>
  <c r="I25" i="55"/>
  <c r="L24" i="55"/>
  <c r="I24" i="55"/>
  <c r="L23" i="55"/>
  <c r="I23" i="55"/>
  <c r="L22" i="55"/>
  <c r="I22" i="55"/>
  <c r="L21" i="55"/>
  <c r="I21" i="55"/>
  <c r="Z18" i="55"/>
  <c r="Y18" i="55"/>
  <c r="X18" i="55"/>
  <c r="B4" i="55"/>
  <c r="B5" i="55" s="1"/>
  <c r="B6" i="55" s="1"/>
  <c r="B7" i="55" s="1"/>
  <c r="B8" i="55" s="1"/>
  <c r="B9" i="55" s="1"/>
  <c r="B10" i="55" s="1"/>
  <c r="B11" i="55" s="1"/>
  <c r="B12" i="55" s="1"/>
  <c r="B13" i="55" s="1"/>
  <c r="D17" i="53"/>
  <c r="C23" i="56" l="1"/>
  <c r="D23" i="56" s="1"/>
  <c r="D17" i="56"/>
  <c r="E27" i="53"/>
  <c r="E28" i="53" s="1"/>
  <c r="D27" i="53"/>
  <c r="D28" i="53" s="1"/>
  <c r="C27" i="53"/>
  <c r="C28" i="53" s="1"/>
  <c r="E19" i="53"/>
  <c r="D19" i="53"/>
  <c r="C19" i="53"/>
  <c r="E25" i="53"/>
  <c r="E26" i="53" s="1"/>
  <c r="D25" i="53"/>
  <c r="D26" i="53" s="1"/>
  <c r="C25" i="53"/>
  <c r="E15" i="53"/>
  <c r="D15" i="53"/>
  <c r="C15" i="53"/>
  <c r="E9" i="53"/>
  <c r="D9" i="53"/>
  <c r="C9" i="53"/>
  <c r="E23" i="53"/>
  <c r="E21" i="53"/>
  <c r="E18" i="53"/>
  <c r="E17" i="53"/>
  <c r="E20" i="53" s="1"/>
  <c r="E14" i="53"/>
  <c r="E16" i="53" s="1"/>
  <c r="E12" i="53"/>
  <c r="E11" i="53"/>
  <c r="E8" i="53"/>
  <c r="E7" i="53"/>
  <c r="E6" i="53"/>
  <c r="E5" i="53"/>
  <c r="E3" i="53"/>
  <c r="E2" i="53"/>
  <c r="D23" i="53"/>
  <c r="D21" i="53"/>
  <c r="D18" i="53"/>
  <c r="D20" i="53" s="1"/>
  <c r="D14" i="53"/>
  <c r="D12" i="53"/>
  <c r="D11" i="53"/>
  <c r="D8" i="53"/>
  <c r="D7" i="53"/>
  <c r="D6" i="53"/>
  <c r="D5" i="53"/>
  <c r="D3" i="53"/>
  <c r="D2" i="53"/>
  <c r="C23" i="53"/>
  <c r="C21" i="53"/>
  <c r="C18" i="53"/>
  <c r="C17" i="53"/>
  <c r="C14" i="53"/>
  <c r="C12" i="53"/>
  <c r="C11" i="53"/>
  <c r="C8" i="53"/>
  <c r="C7" i="53"/>
  <c r="C6" i="53"/>
  <c r="C5" i="53"/>
  <c r="C3" i="53"/>
  <c r="C2" i="53"/>
  <c r="C20" i="53" l="1"/>
  <c r="F27" i="53"/>
  <c r="F28" i="53" s="1"/>
  <c r="C16" i="53"/>
  <c r="F19" i="53"/>
  <c r="D16" i="53"/>
  <c r="D10" i="53"/>
  <c r="C10" i="53"/>
  <c r="F25" i="53"/>
  <c r="F26" i="53" s="1"/>
  <c r="C26" i="53"/>
  <c r="E10" i="53"/>
  <c r="F15" i="53"/>
  <c r="F9" i="53"/>
  <c r="F75" i="50" l="1"/>
  <c r="F195" i="50"/>
  <c r="F190" i="50"/>
  <c r="F194" i="50"/>
  <c r="F18" i="50"/>
  <c r="F93" i="50"/>
  <c r="F191" i="50"/>
  <c r="F83" i="50" l="1"/>
  <c r="E83" i="50"/>
  <c r="D83" i="50"/>
  <c r="C83" i="50"/>
  <c r="B83" i="50"/>
  <c r="F79" i="50"/>
  <c r="E79" i="50"/>
  <c r="D79" i="50"/>
  <c r="C79" i="50"/>
  <c r="B79" i="50"/>
  <c r="E75" i="50"/>
  <c r="D75" i="50"/>
  <c r="C75" i="50"/>
  <c r="B75" i="50"/>
  <c r="F71" i="50"/>
  <c r="E71" i="50"/>
  <c r="D71" i="50"/>
  <c r="C71" i="50"/>
  <c r="B71" i="50"/>
  <c r="F67" i="50"/>
  <c r="E67" i="50"/>
  <c r="D67" i="50"/>
  <c r="C67" i="50"/>
  <c r="B67" i="50"/>
  <c r="F63" i="50"/>
  <c r="F59" i="50"/>
  <c r="F55" i="50"/>
  <c r="F51" i="50"/>
  <c r="F47" i="50"/>
  <c r="F43" i="50"/>
  <c r="F39" i="50"/>
  <c r="F35" i="50"/>
  <c r="F31" i="50"/>
  <c r="F27" i="50"/>
  <c r="F23" i="50"/>
  <c r="F183" i="50"/>
  <c r="F171" i="50"/>
  <c r="F166" i="50"/>
  <c r="F165" i="50"/>
  <c r="F164" i="50"/>
  <c r="F163" i="50"/>
  <c r="F162" i="50"/>
  <c r="F158" i="50"/>
  <c r="F157" i="50"/>
  <c r="F152" i="50"/>
  <c r="F151" i="50"/>
  <c r="F150" i="50"/>
  <c r="F147" i="50"/>
  <c r="G147" i="50" s="1"/>
  <c r="F139" i="50"/>
  <c r="F130" i="50"/>
  <c r="F122" i="50"/>
  <c r="F119" i="50"/>
  <c r="F116" i="50"/>
  <c r="F113" i="50"/>
  <c r="F110" i="50"/>
  <c r="F107" i="50"/>
  <c r="F14" i="50"/>
  <c r="F7" i="50"/>
  <c r="F22" i="50" l="1"/>
  <c r="F153" i="50"/>
  <c r="F106" i="50"/>
  <c r="F126" i="50" s="1"/>
  <c r="F13" i="50"/>
  <c r="F189" i="50"/>
  <c r="E87" i="50"/>
  <c r="E186" i="50"/>
  <c r="F156" i="50" s="1"/>
  <c r="F12" i="50" l="1"/>
  <c r="F204" i="50"/>
  <c r="F206" i="50" s="1"/>
  <c r="F210" i="50" s="1"/>
  <c r="F142" i="50" s="1"/>
  <c r="F144" i="50" s="1"/>
  <c r="H83" i="51"/>
  <c r="H69" i="51"/>
  <c r="F88" i="50" l="1"/>
  <c r="F32" i="53"/>
  <c r="F145" i="50"/>
  <c r="F212" i="50" s="1"/>
  <c r="G82" i="51"/>
  <c r="E83" i="51"/>
  <c r="F83" i="51"/>
  <c r="D83" i="51"/>
  <c r="B139" i="50"/>
  <c r="C139" i="50"/>
  <c r="D139" i="50"/>
  <c r="E139" i="50"/>
  <c r="E195" i="50"/>
  <c r="E194" i="50" s="1"/>
  <c r="F161" i="50" s="1"/>
  <c r="F18" i="53" l="1"/>
  <c r="C83" i="51" l="1"/>
  <c r="G81" i="51"/>
  <c r="G80" i="51"/>
  <c r="G79" i="51"/>
  <c r="G78" i="51"/>
  <c r="G77" i="51"/>
  <c r="B73" i="51"/>
  <c r="F69" i="51"/>
  <c r="E69" i="51"/>
  <c r="D69" i="51"/>
  <c r="D85" i="51" s="1"/>
  <c r="G68" i="51"/>
  <c r="G67" i="51"/>
  <c r="G66" i="51"/>
  <c r="G65" i="51"/>
  <c r="E63" i="50"/>
  <c r="D63" i="50"/>
  <c r="C63" i="50"/>
  <c r="B63" i="50"/>
  <c r="E122" i="50"/>
  <c r="D122" i="50"/>
  <c r="C122" i="50"/>
  <c r="B122" i="50"/>
  <c r="E119" i="50"/>
  <c r="D119" i="50"/>
  <c r="C119" i="50"/>
  <c r="B119" i="50"/>
  <c r="E59" i="50"/>
  <c r="E55" i="50"/>
  <c r="E51" i="50"/>
  <c r="E47" i="50"/>
  <c r="E43" i="50"/>
  <c r="E39" i="50"/>
  <c r="E35" i="50"/>
  <c r="E31" i="50"/>
  <c r="E27" i="50"/>
  <c r="E23" i="50"/>
  <c r="E190" i="50"/>
  <c r="E183" i="50"/>
  <c r="E171" i="50"/>
  <c r="E166" i="50"/>
  <c r="E165" i="50"/>
  <c r="E164" i="50"/>
  <c r="E163" i="50"/>
  <c r="E162" i="50"/>
  <c r="E158" i="50"/>
  <c r="D86" i="51" s="1"/>
  <c r="E157" i="50"/>
  <c r="E156" i="50"/>
  <c r="E152" i="50"/>
  <c r="E151" i="50"/>
  <c r="E150" i="50"/>
  <c r="E147" i="50"/>
  <c r="E130" i="50"/>
  <c r="E116" i="50"/>
  <c r="E113" i="50"/>
  <c r="E110" i="50"/>
  <c r="E107" i="50"/>
  <c r="E93" i="50"/>
  <c r="E18" i="50"/>
  <c r="E14" i="50"/>
  <c r="E7" i="50"/>
  <c r="E189" i="50" l="1"/>
  <c r="F159" i="50" s="1"/>
  <c r="F167" i="50" s="1"/>
  <c r="F169" i="50" s="1"/>
  <c r="F173" i="50" s="1"/>
  <c r="F160" i="50"/>
  <c r="D87" i="51"/>
  <c r="G69" i="51"/>
  <c r="I69" i="51" s="1"/>
  <c r="G83" i="51"/>
  <c r="I83" i="51" s="1"/>
  <c r="E22" i="50"/>
  <c r="E106" i="50"/>
  <c r="E126" i="50" s="1"/>
  <c r="E153" i="50"/>
  <c r="E13" i="50"/>
  <c r="E12" i="50" l="1"/>
  <c r="E204" i="50"/>
  <c r="E206" i="50" s="1"/>
  <c r="E210" i="50" s="1"/>
  <c r="E142" i="50" s="1"/>
  <c r="E144" i="50" s="1"/>
  <c r="E145" i="50" s="1"/>
  <c r="E24" i="53"/>
  <c r="E22" i="53"/>
  <c r="C22" i="53"/>
  <c r="E88" i="50" l="1"/>
  <c r="E212" i="50" s="1"/>
  <c r="E4" i="53"/>
  <c r="E29" i="53" s="1"/>
  <c r="E13" i="53"/>
  <c r="F23" i="53" l="1"/>
  <c r="F21" i="53"/>
  <c r="F17" i="53"/>
  <c r="F20" i="53" s="1"/>
  <c r="F14" i="53"/>
  <c r="F16" i="53" s="1"/>
  <c r="F12" i="53"/>
  <c r="F11" i="53"/>
  <c r="F8" i="53"/>
  <c r="F7" i="53"/>
  <c r="F6" i="53"/>
  <c r="F5" i="53"/>
  <c r="F3" i="53"/>
  <c r="F2" i="53"/>
  <c r="H54" i="51"/>
  <c r="F10" i="53" l="1"/>
  <c r="D13" i="53"/>
  <c r="D24" i="53"/>
  <c r="C4" i="53"/>
  <c r="D4" i="53"/>
  <c r="C13" i="53"/>
  <c r="D22" i="53"/>
  <c r="C24" i="53"/>
  <c r="C29" i="53" l="1"/>
  <c r="D29" i="53"/>
  <c r="F4" i="53"/>
  <c r="F22" i="53"/>
  <c r="F13" i="53"/>
  <c r="F24" i="53"/>
  <c r="F29" i="53" l="1"/>
  <c r="H20" i="53" s="1"/>
  <c r="H26" i="53" l="1"/>
  <c r="H28" i="53"/>
  <c r="H24" i="53"/>
  <c r="H4" i="53"/>
  <c r="H16" i="53"/>
  <c r="H13" i="53"/>
  <c r="H10" i="53"/>
  <c r="H22" i="53"/>
  <c r="H29" i="53" l="1"/>
  <c r="H41" i="51"/>
  <c r="F54" i="51" l="1"/>
  <c r="E54" i="51"/>
  <c r="D54" i="51"/>
  <c r="C54" i="51"/>
  <c r="G53" i="51"/>
  <c r="G52" i="51"/>
  <c r="G51" i="51"/>
  <c r="G50" i="51"/>
  <c r="G49" i="51"/>
  <c r="B45" i="51"/>
  <c r="F41" i="51"/>
  <c r="E41" i="51"/>
  <c r="D41" i="51"/>
  <c r="G40" i="51"/>
  <c r="G39" i="51"/>
  <c r="G38" i="51"/>
  <c r="G37" i="51"/>
  <c r="D99" i="50"/>
  <c r="D56" i="51" l="1"/>
  <c r="G54" i="51"/>
  <c r="I54" i="51" s="1"/>
  <c r="G41" i="51"/>
  <c r="I41" i="51" s="1"/>
  <c r="D163" i="50" l="1"/>
  <c r="B194" i="50"/>
  <c r="C194" i="50"/>
  <c r="C161" i="50" s="1"/>
  <c r="D195" i="50"/>
  <c r="D194" i="50" s="1"/>
  <c r="D59" i="50"/>
  <c r="C59" i="50"/>
  <c r="B59" i="50"/>
  <c r="D55" i="50"/>
  <c r="C55" i="50"/>
  <c r="B55" i="50"/>
  <c r="D18" i="50"/>
  <c r="C18" i="50"/>
  <c r="B18" i="50"/>
  <c r="D161" i="50" l="1"/>
  <c r="E161" i="50"/>
  <c r="D116" i="50"/>
  <c r="C116" i="50"/>
  <c r="B116" i="50"/>
  <c r="B125" i="50"/>
  <c r="D51" i="50"/>
  <c r="D47" i="50"/>
  <c r="D43" i="50"/>
  <c r="D39" i="50"/>
  <c r="D35" i="50"/>
  <c r="D31" i="50"/>
  <c r="D27" i="50"/>
  <c r="D23" i="50"/>
  <c r="D190" i="50"/>
  <c r="E160" i="50" s="1"/>
  <c r="D183" i="50"/>
  <c r="D171" i="50"/>
  <c r="D166" i="50"/>
  <c r="D165" i="50"/>
  <c r="D164" i="50"/>
  <c r="D162" i="50"/>
  <c r="D158" i="50"/>
  <c r="D57" i="51" s="1"/>
  <c r="D58" i="51" s="1"/>
  <c r="D157" i="50"/>
  <c r="D156" i="50"/>
  <c r="D152" i="50"/>
  <c r="D151" i="50"/>
  <c r="D150" i="50"/>
  <c r="D147" i="50"/>
  <c r="D130" i="50"/>
  <c r="D113" i="50"/>
  <c r="D110" i="50"/>
  <c r="D107" i="50"/>
  <c r="D106" i="50" s="1"/>
  <c r="D93" i="50"/>
  <c r="D14" i="50"/>
  <c r="D13" i="50" s="1"/>
  <c r="D7" i="50"/>
  <c r="D22" i="50" l="1"/>
  <c r="D12" i="50" s="1"/>
  <c r="D126" i="50"/>
  <c r="D189" i="50"/>
  <c r="D153" i="50"/>
  <c r="D204" i="50" l="1"/>
  <c r="D206" i="50" s="1"/>
  <c r="D210" i="50" s="1"/>
  <c r="D142" i="50" s="1"/>
  <c r="D144" i="50" s="1"/>
  <c r="E159" i="50"/>
  <c r="E167" i="50" s="1"/>
  <c r="E169" i="50" s="1"/>
  <c r="E173" i="50" s="1"/>
  <c r="D88" i="50"/>
  <c r="F33" i="53"/>
  <c r="G74" i="50" l="1"/>
  <c r="G70" i="50"/>
  <c r="G86" i="50"/>
  <c r="G82" i="50"/>
  <c r="G78" i="50"/>
  <c r="G73" i="50"/>
  <c r="G69" i="50"/>
  <c r="G85" i="50"/>
  <c r="G81" i="50"/>
  <c r="G77" i="50"/>
  <c r="G72" i="50"/>
  <c r="G68" i="50"/>
  <c r="G84" i="50"/>
  <c r="G80" i="50"/>
  <c r="G76" i="50"/>
  <c r="G79" i="50"/>
  <c r="G67" i="50"/>
  <c r="G75" i="50"/>
  <c r="G83" i="50"/>
  <c r="G71" i="50"/>
  <c r="D145" i="50"/>
  <c r="G121" i="50" s="1"/>
  <c r="G66" i="50"/>
  <c r="G65" i="50"/>
  <c r="G64" i="50"/>
  <c r="G63" i="50"/>
  <c r="G130" i="50"/>
  <c r="G100" i="50"/>
  <c r="G134" i="50"/>
  <c r="G125" i="50"/>
  <c r="G108" i="50"/>
  <c r="G110" i="50"/>
  <c r="G117" i="50"/>
  <c r="G13" i="50"/>
  <c r="G55" i="50"/>
  <c r="G47" i="50"/>
  <c r="G39" i="50"/>
  <c r="G31" i="50"/>
  <c r="G23" i="50"/>
  <c r="G9" i="50"/>
  <c r="G51" i="50"/>
  <c r="G18" i="50"/>
  <c r="G34" i="50"/>
  <c r="G25" i="50"/>
  <c r="G14" i="50"/>
  <c r="G15" i="50"/>
  <c r="G22" i="50"/>
  <c r="G54" i="50"/>
  <c r="G46" i="50"/>
  <c r="G38" i="50"/>
  <c r="G30" i="50"/>
  <c r="G21" i="50"/>
  <c r="G10" i="50"/>
  <c r="G8" i="50"/>
  <c r="G35" i="50"/>
  <c r="G58" i="50"/>
  <c r="G12" i="50"/>
  <c r="G40" i="50"/>
  <c r="G62" i="50"/>
  <c r="G53" i="50"/>
  <c r="G45" i="50"/>
  <c r="G37" i="50"/>
  <c r="G29" i="50"/>
  <c r="G20" i="50"/>
  <c r="G43" i="50"/>
  <c r="G50" i="50"/>
  <c r="G17" i="50"/>
  <c r="G41" i="50"/>
  <c r="G48" i="50"/>
  <c r="G88" i="50"/>
  <c r="G61" i="50"/>
  <c r="G52" i="50"/>
  <c r="G44" i="50"/>
  <c r="G36" i="50"/>
  <c r="G28" i="50"/>
  <c r="G19" i="50"/>
  <c r="G59" i="50"/>
  <c r="G27" i="50"/>
  <c r="G42" i="50"/>
  <c r="G33" i="50"/>
  <c r="G56" i="50"/>
  <c r="G87" i="50"/>
  <c r="G16" i="50"/>
  <c r="G24" i="50"/>
  <c r="G60" i="50"/>
  <c r="G26" i="50"/>
  <c r="G57" i="50"/>
  <c r="G32" i="50"/>
  <c r="G49" i="50"/>
  <c r="G7" i="50"/>
  <c r="G145" i="50" l="1"/>
  <c r="G137" i="50"/>
  <c r="G106" i="50"/>
  <c r="G107" i="50"/>
  <c r="G142" i="50"/>
  <c r="G126" i="50"/>
  <c r="G109" i="50"/>
  <c r="G120" i="50"/>
  <c r="G93" i="50"/>
  <c r="G132" i="50"/>
  <c r="G96" i="50"/>
  <c r="G94" i="50"/>
  <c r="G115" i="50"/>
  <c r="G144" i="50"/>
  <c r="G111" i="50"/>
  <c r="G99" i="50"/>
  <c r="G135" i="50"/>
  <c r="G113" i="50"/>
  <c r="G98" i="50"/>
  <c r="G136" i="50"/>
  <c r="D212" i="50"/>
  <c r="G116" i="50"/>
  <c r="G133" i="50"/>
  <c r="G118" i="50"/>
  <c r="G131" i="50"/>
  <c r="G112" i="50"/>
  <c r="G97" i="50"/>
  <c r="G138" i="50"/>
  <c r="G95" i="50"/>
  <c r="G123" i="50"/>
  <c r="G119" i="50"/>
  <c r="G124" i="50"/>
  <c r="G114" i="50"/>
  <c r="G122" i="50"/>
  <c r="G7" i="5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90" i="50" l="1"/>
  <c r="D160" i="50" s="1"/>
  <c r="B190" i="50"/>
  <c r="C98" i="50"/>
  <c r="C171" i="50"/>
  <c r="C166" i="50"/>
  <c r="C165" i="50"/>
  <c r="C162" i="50"/>
  <c r="C158" i="50"/>
  <c r="D28" i="51" s="1"/>
  <c r="D29" i="51" s="1"/>
  <c r="C156" i="50"/>
  <c r="C152" i="50"/>
  <c r="C151" i="50"/>
  <c r="C150" i="50"/>
  <c r="C51" i="50"/>
  <c r="B51" i="50"/>
  <c r="C183" i="50" l="1"/>
  <c r="C164" i="50"/>
  <c r="C163" i="50"/>
  <c r="C147" i="50"/>
  <c r="C113" i="50"/>
  <c r="C110" i="50"/>
  <c r="C107" i="50"/>
  <c r="C47" i="50"/>
  <c r="C43" i="50"/>
  <c r="C39" i="50"/>
  <c r="C35" i="50"/>
  <c r="C31" i="50"/>
  <c r="C27" i="50"/>
  <c r="C23" i="50"/>
  <c r="C14" i="50"/>
  <c r="C13" i="50" s="1"/>
  <c r="C7" i="50"/>
  <c r="C22" i="50" l="1"/>
  <c r="C12" i="50" s="1"/>
  <c r="C88" i="50" s="1"/>
  <c r="C189" i="50"/>
  <c r="C153" i="50"/>
  <c r="C93" i="50"/>
  <c r="C106" i="50"/>
  <c r="C130" i="50"/>
  <c r="B97" i="50"/>
  <c r="B115" i="50"/>
  <c r="B112" i="50"/>
  <c r="B109" i="50"/>
  <c r="F132" i="49"/>
  <c r="C126" i="50" l="1"/>
  <c r="C204" i="50"/>
  <c r="C206" i="50" s="1"/>
  <c r="C210" i="50" s="1"/>
  <c r="C142" i="50" s="1"/>
  <c r="C144" i="50" s="1"/>
  <c r="D159" i="50"/>
  <c r="D167" i="50" s="1"/>
  <c r="D169" i="50" s="1"/>
  <c r="D173" i="50" s="1"/>
  <c r="B187" i="50"/>
  <c r="C157" i="50" s="1"/>
  <c r="C145" i="50" l="1"/>
  <c r="C212" i="50" s="1"/>
  <c r="A166" i="50" l="1"/>
  <c r="B166" i="50"/>
  <c r="G166" i="50" s="1"/>
  <c r="B165" i="50" l="1"/>
  <c r="G165" i="50" s="1"/>
  <c r="B94" i="50"/>
  <c r="C160" i="50"/>
  <c r="B47" i="50" l="1"/>
  <c r="B157" i="50"/>
  <c r="G157" i="50" s="1"/>
  <c r="B158" i="50"/>
  <c r="G158" i="50" s="1"/>
  <c r="B162" i="50"/>
  <c r="G162" i="50" s="1"/>
  <c r="B14" i="50" l="1"/>
  <c r="B13" i="50" s="1"/>
  <c r="B164" i="50" l="1"/>
  <c r="G164" i="50" s="1"/>
  <c r="B163" i="50"/>
  <c r="G163" i="50" s="1"/>
  <c r="B160" i="50"/>
  <c r="G160" i="50" s="1"/>
  <c r="B156" i="50"/>
  <c r="G156" i="50" s="1"/>
  <c r="B152" i="50"/>
  <c r="G152" i="50" s="1"/>
  <c r="B151" i="50"/>
  <c r="G151" i="50" s="1"/>
  <c r="B150" i="50"/>
  <c r="G150" i="50" s="1"/>
  <c r="B171" i="50"/>
  <c r="G171" i="50" s="1"/>
  <c r="B183" i="50"/>
  <c r="A167" i="50"/>
  <c r="A165" i="50"/>
  <c r="A164" i="50"/>
  <c r="A163" i="50"/>
  <c r="A162" i="50"/>
  <c r="A161" i="50"/>
  <c r="A160" i="50"/>
  <c r="A159" i="50"/>
  <c r="A158" i="50"/>
  <c r="A157" i="50"/>
  <c r="A156" i="50"/>
  <c r="A152" i="50"/>
  <c r="A151" i="50"/>
  <c r="A150" i="50"/>
  <c r="B147" i="50"/>
  <c r="B136" i="50"/>
  <c r="B135" i="50"/>
  <c r="B134" i="50"/>
  <c r="B133" i="50"/>
  <c r="B132" i="50"/>
  <c r="B131" i="50"/>
  <c r="B113" i="50"/>
  <c r="B110" i="50"/>
  <c r="B107" i="50"/>
  <c r="B93" i="50"/>
  <c r="B43" i="50"/>
  <c r="B39" i="50"/>
  <c r="B35" i="50"/>
  <c r="B31" i="50"/>
  <c r="B27" i="50"/>
  <c r="B23" i="50"/>
  <c r="E9" i="49"/>
  <c r="F127" i="49"/>
  <c r="E127" i="49"/>
  <c r="G153" i="50" l="1"/>
  <c r="B153" i="50"/>
  <c r="B22" i="50"/>
  <c r="B12" i="50" s="1"/>
  <c r="B189" i="50"/>
  <c r="B161" i="50"/>
  <c r="G161" i="50" s="1"/>
  <c r="B106" i="50"/>
  <c r="B126" i="50" s="1"/>
  <c r="B130" i="50"/>
  <c r="B7" i="50"/>
  <c r="F9" i="49"/>
  <c r="F7" i="49" s="1"/>
  <c r="B88" i="50" l="1"/>
  <c r="B204" i="50"/>
  <c r="B206" i="50" s="1"/>
  <c r="B210" i="50" s="1"/>
  <c r="C159" i="50"/>
  <c r="C167" i="50" s="1"/>
  <c r="C169" i="50" s="1"/>
  <c r="C173" i="50" s="1"/>
  <c r="B159" i="50"/>
  <c r="F152" i="49"/>
  <c r="G159" i="50" l="1"/>
  <c r="G167" i="50"/>
  <c r="G169" i="50" s="1"/>
  <c r="B167" i="50"/>
  <c r="B169" i="50" s="1"/>
  <c r="B173" i="50" s="1"/>
  <c r="B142" i="50"/>
  <c r="F146" i="49"/>
  <c r="F43" i="49"/>
  <c r="F116" i="49"/>
  <c r="G116" i="49" s="1"/>
  <c r="B144" i="50" l="1"/>
  <c r="G173" i="50"/>
  <c r="D111" i="49"/>
  <c r="E111" i="49"/>
  <c r="F111" i="49"/>
  <c r="A111" i="49"/>
  <c r="B97" i="49"/>
  <c r="C97" i="49"/>
  <c r="D97" i="49"/>
  <c r="E97" i="49"/>
  <c r="F97" i="49"/>
  <c r="A97" i="49"/>
  <c r="F140" i="49"/>
  <c r="B145" i="50" l="1"/>
  <c r="B212" i="50" s="1"/>
  <c r="G111" i="49"/>
  <c r="G97" i="49"/>
  <c r="B56" i="49"/>
  <c r="C56" i="49"/>
  <c r="D56" i="49"/>
  <c r="E56" i="49"/>
  <c r="B62" i="49"/>
  <c r="C62" i="49"/>
  <c r="D62" i="49"/>
  <c r="E62" i="49"/>
  <c r="B59" i="49"/>
  <c r="C59" i="49"/>
  <c r="D59" i="49"/>
  <c r="E59" i="49"/>
  <c r="F59" i="49"/>
  <c r="F62" i="49"/>
  <c r="F56" i="49"/>
  <c r="G102" i="50" l="1"/>
  <c r="G101" i="50"/>
  <c r="F55" i="49"/>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61" i="49" s="1"/>
  <c r="F10" i="49"/>
  <c r="F37" i="49" s="1"/>
  <c r="F162" i="49" l="1"/>
  <c r="F148" i="49"/>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164" i="49" s="1"/>
  <c r="E133" i="49"/>
  <c r="F98" i="49" s="1"/>
  <c r="F167" i="49" l="1"/>
  <c r="F85" i="49"/>
  <c r="G55" i="49" s="1"/>
  <c r="G75" i="49"/>
  <c r="G45" i="49"/>
  <c r="G44" i="49"/>
  <c r="G72" i="49"/>
  <c r="G70" i="49"/>
  <c r="G48" i="49"/>
  <c r="G59" i="49"/>
  <c r="G74" i="49"/>
  <c r="G61" i="49"/>
  <c r="G57" i="49"/>
  <c r="G58" i="49"/>
  <c r="G82" i="49"/>
  <c r="G63" i="49"/>
  <c r="G65" i="49"/>
  <c r="G62" i="49"/>
  <c r="G47" i="49"/>
  <c r="G71" i="49"/>
  <c r="G84" i="49"/>
  <c r="G42" i="49"/>
  <c r="G56" i="49"/>
  <c r="G64" i="49"/>
  <c r="G60" i="49"/>
  <c r="G46" i="49"/>
  <c r="G73" i="49"/>
  <c r="G85" i="49"/>
  <c r="F156" i="49"/>
  <c r="E42" i="49"/>
  <c r="A110" i="49"/>
  <c r="D110" i="49"/>
  <c r="E110" i="49"/>
  <c r="G76" i="49" l="1"/>
  <c r="G77" i="49"/>
  <c r="G43" i="49"/>
  <c r="G110" i="49"/>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61" i="49" s="1"/>
  <c r="E148" i="49"/>
  <c r="E150" i="49" s="1"/>
  <c r="E154" i="49" s="1"/>
  <c r="E82" i="49" s="1"/>
  <c r="F102" i="49"/>
  <c r="E11" i="49"/>
  <c r="E10" i="49" s="1"/>
  <c r="E37" i="49" s="1"/>
  <c r="E162" i="49" l="1"/>
  <c r="F112" i="49"/>
  <c r="F114" i="49" s="1"/>
  <c r="F118" i="49" s="1"/>
  <c r="E84" i="49"/>
  <c r="E164" i="49" s="1"/>
  <c r="A106" i="49"/>
  <c r="D106" i="49"/>
  <c r="G106" i="49" s="1"/>
  <c r="D105" i="49"/>
  <c r="G105" i="49" s="1"/>
  <c r="A105" i="49"/>
  <c r="E104" i="49"/>
  <c r="F165" i="49" l="1"/>
  <c r="E167" i="49"/>
  <c r="E85" i="49"/>
  <c r="D131" i="49"/>
  <c r="E96" i="49" s="1"/>
  <c r="D35" i="49"/>
  <c r="F169" i="49" l="1"/>
  <c r="G66" i="49"/>
  <c r="E156" i="49"/>
  <c r="D103" i="49"/>
  <c r="G103" i="49" s="1"/>
  <c r="A103" i="49"/>
  <c r="A104" i="49"/>
  <c r="C137" i="49"/>
  <c r="B137" i="49"/>
  <c r="D137" i="49"/>
  <c r="E102" i="49" l="1"/>
  <c r="D102" i="49"/>
  <c r="G102" i="49" s="1"/>
  <c r="D104" i="49"/>
  <c r="G104" i="49" s="1"/>
  <c r="D91" i="49" l="1"/>
  <c r="G91" i="49" s="1"/>
  <c r="B128" i="49"/>
  <c r="C128" i="49"/>
  <c r="D90" i="49"/>
  <c r="G90" i="49" s="1"/>
  <c r="D74" i="49" l="1"/>
  <c r="H74" i="49" s="1"/>
  <c r="B7" i="49"/>
  <c r="C7" i="49"/>
  <c r="D7" i="49"/>
  <c r="A90" i="49"/>
  <c r="D127" i="49"/>
  <c r="D143" i="49"/>
  <c r="E107" i="49" s="1"/>
  <c r="D73" i="49"/>
  <c r="H73" i="49" s="1"/>
  <c r="D71" i="49"/>
  <c r="H71" i="49" s="1"/>
  <c r="D76" i="49"/>
  <c r="D72" i="49"/>
  <c r="H72" i="49" s="1"/>
  <c r="D75" i="49"/>
  <c r="H75" i="49" s="1"/>
  <c r="A102" i="49"/>
  <c r="H76" i="49" l="1"/>
  <c r="D128" i="49"/>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D161" i="49" l="1"/>
  <c r="D162" i="49"/>
  <c r="E99" i="49"/>
  <c r="E112" i="49" s="1"/>
  <c r="E114" i="49" s="1"/>
  <c r="E118" i="49" s="1"/>
  <c r="D148" i="49"/>
  <c r="D150" i="49" s="1"/>
  <c r="D10" i="49"/>
  <c r="D37" i="49" s="1"/>
  <c r="D154" i="49" l="1"/>
  <c r="D82" i="49" s="1"/>
  <c r="D84" i="49" s="1"/>
  <c r="D85" i="49" s="1"/>
  <c r="C98" i="49"/>
  <c r="G98" i="49" s="1"/>
  <c r="D164" i="49" l="1"/>
  <c r="D167" i="49"/>
  <c r="D156" i="49"/>
  <c r="C107" i="49"/>
  <c r="C101" i="49"/>
  <c r="C100" i="49"/>
  <c r="C96" i="49"/>
  <c r="C92" i="49"/>
  <c r="C93" i="49" s="1"/>
  <c r="C134" i="49"/>
  <c r="C148" i="49" s="1"/>
  <c r="C87" i="49"/>
  <c r="C70" i="49"/>
  <c r="C79" i="49"/>
  <c r="C42" i="49"/>
  <c r="C66" i="49" s="1"/>
  <c r="E169" i="49" l="1"/>
  <c r="E165" i="49"/>
  <c r="C162" i="49"/>
  <c r="C161" i="49"/>
  <c r="C150" i="49"/>
  <c r="D99" i="49"/>
  <c r="B96" i="49"/>
  <c r="G96" i="49" s="1"/>
  <c r="A99" i="49"/>
  <c r="B134" i="49"/>
  <c r="B148" i="49" s="1"/>
  <c r="B70" i="49"/>
  <c r="B161" i="49" l="1"/>
  <c r="B162" i="49"/>
  <c r="C154" i="49"/>
  <c r="C82" i="49" s="1"/>
  <c r="C84" i="49" s="1"/>
  <c r="C85" i="49" s="1"/>
  <c r="C156" i="49" s="1"/>
  <c r="D112" i="49"/>
  <c r="D114" i="49" s="1"/>
  <c r="D118" i="49" s="1"/>
  <c r="C99" i="49"/>
  <c r="B99" i="49"/>
  <c r="A101" i="49"/>
  <c r="B101" i="49"/>
  <c r="G101" i="49" s="1"/>
  <c r="C167" i="49" l="1"/>
  <c r="D169" i="49" s="1"/>
  <c r="C164" i="49"/>
  <c r="G99" i="49"/>
  <c r="C112" i="49"/>
  <c r="C114" i="49" s="1"/>
  <c r="C118" i="49" s="1"/>
  <c r="B107" i="49"/>
  <c r="G107" i="49" s="1"/>
  <c r="B100" i="49"/>
  <c r="G100" i="49" s="1"/>
  <c r="B92" i="49"/>
  <c r="G92" i="49" s="1"/>
  <c r="G93" i="49" s="1"/>
  <c r="D165" i="49" l="1"/>
  <c r="G112" i="49"/>
  <c r="G114" i="49" s="1"/>
  <c r="G118" i="49" s="1"/>
  <c r="B112" i="49"/>
  <c r="B93" i="49"/>
  <c r="B150" i="49"/>
  <c r="B154" i="49" s="1"/>
  <c r="B82" i="49" s="1"/>
  <c r="B87" i="49"/>
  <c r="B79" i="49"/>
  <c r="B42" i="49"/>
  <c r="B66" i="49" s="1"/>
  <c r="B114" i="49" l="1"/>
  <c r="B118" i="49" s="1"/>
  <c r="B84" i="49" l="1"/>
  <c r="B85" i="49" l="1"/>
  <c r="B156" i="49" s="1"/>
  <c r="B164" i="49"/>
  <c r="C165" i="49" s="1"/>
  <c r="B167" i="49"/>
  <c r="C169" i="49" s="1"/>
  <c r="G81" i="49"/>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0000000-0006-0000-0000-000001000000}">
      <text>
        <r>
          <rPr>
            <b/>
            <sz val="9"/>
            <color indexed="81"/>
            <rFont val="Tahoma"/>
            <family val="2"/>
          </rPr>
          <t>Patricia Valdivia:</t>
        </r>
        <r>
          <rPr>
            <sz val="9"/>
            <color indexed="81"/>
            <rFont val="Tahoma"/>
            <family val="2"/>
          </rPr>
          <t xml:space="preserve">
FRONT FEE FMO</t>
        </r>
      </text>
    </comment>
    <comment ref="E44" authorId="0" shapeId="0" xr:uid="{00000000-0006-0000-0000-000002000000}">
      <text>
        <r>
          <rPr>
            <b/>
            <sz val="9"/>
            <color indexed="81"/>
            <rFont val="Tahoma"/>
            <family val="2"/>
          </rPr>
          <t>Patricia Valdivia:</t>
        </r>
        <r>
          <rPr>
            <sz val="9"/>
            <color indexed="81"/>
            <rFont val="Tahoma"/>
            <family val="2"/>
          </rPr>
          <t xml:space="preserve">
JP USD 500
EH USD 500
FM USD 500
HK USD 500</t>
        </r>
      </text>
    </comment>
    <comment ref="E45" authorId="0" shapeId="0" xr:uid="{00000000-0006-0000-0000-000003000000}">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00000000-0006-0000-0000-000004000000}">
      <text>
        <r>
          <rPr>
            <b/>
            <sz val="9"/>
            <color indexed="81"/>
            <rFont val="Tahoma"/>
            <family val="2"/>
          </rPr>
          <t>Patricia Valdivia:</t>
        </r>
        <r>
          <rPr>
            <sz val="9"/>
            <color indexed="81"/>
            <rFont val="Tahoma"/>
            <family val="2"/>
          </rPr>
          <t xml:space="preserve">
QUINTANILLA</t>
        </r>
      </text>
    </comment>
    <comment ref="E98" authorId="0" shapeId="0" xr:uid="{00000000-0006-0000-0000-000005000000}">
      <text>
        <r>
          <rPr>
            <b/>
            <sz val="9"/>
            <color indexed="81"/>
            <rFont val="Tahoma"/>
            <family val="2"/>
          </rPr>
          <t>Patricia Valdivia:</t>
        </r>
        <r>
          <rPr>
            <sz val="9"/>
            <color indexed="81"/>
            <rFont val="Tahoma"/>
            <family val="2"/>
          </rPr>
          <t xml:space="preserve">
MONITORING FEE FMO USD 5,000</t>
        </r>
      </text>
    </comment>
    <comment ref="D131" authorId="0" shapeId="0" xr:uid="{00000000-0006-0000-0000-000006000000}">
      <text>
        <r>
          <rPr>
            <b/>
            <sz val="9"/>
            <color indexed="81"/>
            <rFont val="Tahoma"/>
            <family val="2"/>
          </rPr>
          <t>Patricia Valdivia:</t>
        </r>
        <r>
          <rPr>
            <sz val="9"/>
            <color indexed="81"/>
            <rFont val="Tahoma"/>
            <family val="2"/>
          </rPr>
          <t xml:space="preserve">
DD EQUIPAT USD 3,000
DD CONTACTAR USD 1,470</t>
        </r>
      </text>
    </comment>
    <comment ref="E131" authorId="0" shapeId="0" xr:uid="{00000000-0006-0000-0000-000007000000}">
      <text>
        <r>
          <rPr>
            <b/>
            <sz val="9"/>
            <color indexed="81"/>
            <rFont val="Tahoma"/>
            <family val="2"/>
          </rPr>
          <t>Patricia Valdivia:</t>
        </r>
        <r>
          <rPr>
            <sz val="9"/>
            <color indexed="81"/>
            <rFont val="Tahoma"/>
            <family val="2"/>
          </rPr>
          <t xml:space="preserve">
DD INSOTEC USD 2,000
DD IDH USD 1,980</t>
        </r>
      </text>
    </comment>
    <comment ref="F131" authorId="0" shapeId="0" xr:uid="{00000000-0006-0000-0000-000008000000}">
      <text>
        <r>
          <rPr>
            <b/>
            <sz val="9"/>
            <color indexed="81"/>
            <rFont val="Tahoma"/>
            <family val="2"/>
          </rPr>
          <t>Patricia Valdivia:</t>
        </r>
        <r>
          <rPr>
            <sz val="9"/>
            <color indexed="81"/>
            <rFont val="Tahoma"/>
            <family val="2"/>
          </rPr>
          <t xml:space="preserve">
DD INSOTEC USD 2,000
DD IDH USD 1,980</t>
        </r>
      </text>
    </comment>
    <comment ref="A134" authorId="0" shapeId="0" xr:uid="{00000000-0006-0000-0000-000009000000}">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00000000-0006-0000-0000-00000A000000}">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98" authorId="0" shapeId="0" xr:uid="{00000000-0006-0000-0100-000001000000}">
      <text>
        <r>
          <rPr>
            <b/>
            <sz val="9"/>
            <color indexed="81"/>
            <rFont val="Tahoma"/>
            <family val="2"/>
          </rPr>
          <t>Patricia Valdivia:</t>
        </r>
        <r>
          <rPr>
            <sz val="9"/>
            <color indexed="81"/>
            <rFont val="Tahoma"/>
            <family val="2"/>
          </rPr>
          <t xml:space="preserve">
QUINTANILLA USD 102.64
DOCURAPID USD 176
QUINTANILLA USD 1,275</t>
        </r>
      </text>
    </comment>
    <comment ref="C98" authorId="0" shapeId="0" xr:uid="{00000000-0006-0000-0100-000002000000}">
      <text>
        <r>
          <rPr>
            <b/>
            <sz val="9"/>
            <color indexed="81"/>
            <rFont val="Tahoma"/>
            <family val="2"/>
          </rPr>
          <t>Patricia Valdivia:</t>
        </r>
        <r>
          <rPr>
            <sz val="9"/>
            <color indexed="81"/>
            <rFont val="Tahoma"/>
            <family val="2"/>
          </rPr>
          <t xml:space="preserve">
QUINTANILLA USD 102.64
QUINTANILLA USD 1,275
DVIES USD 3.744.02</t>
        </r>
      </text>
    </comment>
    <comment ref="E98" authorId="0" shapeId="0" xr:uid="{00000000-0006-0000-0100-000003000000}">
      <text>
        <r>
          <rPr>
            <b/>
            <sz val="9"/>
            <color indexed="81"/>
            <rFont val="Tahoma"/>
            <family val="2"/>
          </rPr>
          <t>Patricia Valdivia:</t>
        </r>
        <r>
          <rPr>
            <sz val="9"/>
            <color indexed="81"/>
            <rFont val="Tahoma"/>
            <family val="2"/>
          </rPr>
          <t xml:space="preserve">
walker</t>
        </r>
      </text>
    </comment>
    <comment ref="B100" authorId="0" shapeId="0" xr:uid="{00000000-0006-0000-0100-000004000000}">
      <text>
        <r>
          <rPr>
            <b/>
            <sz val="9"/>
            <color indexed="81"/>
            <rFont val="Tahoma"/>
            <family val="2"/>
          </rPr>
          <t>Patricia Valdivia:</t>
        </r>
        <r>
          <rPr>
            <sz val="9"/>
            <color indexed="81"/>
            <rFont val="Tahoma"/>
            <family val="2"/>
          </rPr>
          <t xml:space="preserve">
DUODECIMAS DEL MONTO APROXIMADO DE USD 20,000</t>
        </r>
      </text>
    </comment>
    <comment ref="C100" authorId="0" shapeId="0" xr:uid="{00000000-0006-0000-0100-000005000000}">
      <text>
        <r>
          <rPr>
            <b/>
            <sz val="9"/>
            <color indexed="81"/>
            <rFont val="Tahoma"/>
            <family val="2"/>
          </rPr>
          <t>Patricia Valdivia:</t>
        </r>
        <r>
          <rPr>
            <sz val="9"/>
            <color indexed="81"/>
            <rFont val="Tahoma"/>
            <family val="2"/>
          </rPr>
          <t xml:space="preserve">
DUODECIMAS DEL MONTO APROXIMADO DE USD 20,000</t>
        </r>
      </text>
    </comment>
    <comment ref="D100" authorId="0" shapeId="0" xr:uid="{00000000-0006-0000-0100-000006000000}">
      <text>
        <r>
          <rPr>
            <b/>
            <sz val="9"/>
            <color indexed="81"/>
            <rFont val="Tahoma"/>
            <family val="2"/>
          </rPr>
          <t>Patricia Valdivia:</t>
        </r>
        <r>
          <rPr>
            <sz val="9"/>
            <color indexed="81"/>
            <rFont val="Tahoma"/>
            <family val="2"/>
          </rPr>
          <t xml:space="preserve">
DUODECIMAS DEL MONTO APROXIMADO DE USD 20,000</t>
        </r>
      </text>
    </comment>
    <comment ref="E100" authorId="0" shapeId="0" xr:uid="{00000000-0006-0000-0100-000007000000}">
      <text>
        <r>
          <rPr>
            <b/>
            <sz val="9"/>
            <color indexed="81"/>
            <rFont val="Tahoma"/>
            <family val="2"/>
          </rPr>
          <t>Patricia Valdivia:</t>
        </r>
        <r>
          <rPr>
            <sz val="9"/>
            <color indexed="81"/>
            <rFont val="Tahoma"/>
            <family val="2"/>
          </rPr>
          <t xml:space="preserve">
DUODECIMAS DEL MONTO APROXIMADO DE USD 20,000</t>
        </r>
      </text>
    </comment>
    <comment ref="F100" authorId="0" shapeId="0" xr:uid="{00000000-0006-0000-0100-000008000000}">
      <text>
        <r>
          <rPr>
            <b/>
            <sz val="9"/>
            <color indexed="81"/>
            <rFont val="Tahoma"/>
            <family val="2"/>
          </rPr>
          <t>Patricia Valdivia:</t>
        </r>
        <r>
          <rPr>
            <sz val="9"/>
            <color indexed="81"/>
            <rFont val="Tahoma"/>
            <family val="2"/>
          </rPr>
          <t xml:space="preserve">
DUODECIMAS DEL MONTO APROXIMADO DE USD 20,000</t>
        </r>
      </text>
    </comment>
    <comment ref="C150" authorId="0" shapeId="0" xr:uid="{00000000-0006-0000-0100-000009000000}">
      <text>
        <r>
          <rPr>
            <b/>
            <sz val="9"/>
            <color indexed="81"/>
            <rFont val="Tahoma"/>
            <family val="2"/>
          </rPr>
          <t>Patricia Valdivia:</t>
        </r>
        <r>
          <rPr>
            <sz val="9"/>
            <color indexed="81"/>
            <rFont val="Tahoma"/>
            <family val="2"/>
          </rPr>
          <t xml:space="preserve">
DESEMBOLSO INSOTEC</t>
        </r>
      </text>
    </comment>
    <comment ref="D150" authorId="0" shapeId="0" xr:uid="{00000000-0006-0000-0100-00000A000000}">
      <text>
        <r>
          <rPr>
            <b/>
            <sz val="9"/>
            <color indexed="81"/>
            <rFont val="Tahoma"/>
            <family val="2"/>
          </rPr>
          <t>Patricia Valdivia:</t>
        </r>
        <r>
          <rPr>
            <sz val="9"/>
            <color indexed="81"/>
            <rFont val="Tahoma"/>
            <family val="2"/>
          </rPr>
          <t xml:space="preserve">
DESEMBOLSO DIACONIA  ESPOIR II+ IDH</t>
        </r>
      </text>
    </comment>
    <comment ref="E150" authorId="0" shapeId="0" xr:uid="{00000000-0006-0000-0100-00000B000000}">
      <text>
        <r>
          <rPr>
            <b/>
            <sz val="9"/>
            <color indexed="81"/>
            <rFont val="Tahoma"/>
            <family val="2"/>
          </rPr>
          <t>Patricia Valdivia:</t>
        </r>
        <r>
          <rPr>
            <sz val="9"/>
            <color indexed="81"/>
            <rFont val="Tahoma"/>
            <family val="2"/>
          </rPr>
          <t xml:space="preserve">
DESEMBOLSO DIACONIA  ESPOIR II+ IDH</t>
        </r>
      </text>
    </comment>
    <comment ref="C151" authorId="0" shapeId="0" xr:uid="{00000000-0006-0000-0100-00000C000000}">
      <text>
        <r>
          <rPr>
            <b/>
            <sz val="9"/>
            <color indexed="81"/>
            <rFont val="Tahoma"/>
            <family val="2"/>
          </rPr>
          <t>Patricia Valdivia:</t>
        </r>
        <r>
          <rPr>
            <sz val="9"/>
            <color indexed="81"/>
            <rFont val="Tahoma"/>
            <family val="2"/>
          </rPr>
          <t xml:space="preserve">
Desembolso Insotec</t>
        </r>
      </text>
    </comment>
    <comment ref="D151" authorId="0" shapeId="0" xr:uid="{00000000-0006-0000-0100-00000D000000}">
      <text>
        <r>
          <rPr>
            <b/>
            <sz val="9"/>
            <color indexed="81"/>
            <rFont val="Tahoma"/>
            <family val="2"/>
          </rPr>
          <t>Patricia Valdivia:</t>
        </r>
        <r>
          <rPr>
            <sz val="9"/>
            <color indexed="81"/>
            <rFont val="Tahoma"/>
            <family val="2"/>
          </rPr>
          <t xml:space="preserve">
Desembolso DIACONIA Y ESPOR II +IDH</t>
        </r>
      </text>
    </comment>
    <comment ref="E151" authorId="0" shapeId="0" xr:uid="{00000000-0006-0000-0100-00000E000000}">
      <text>
        <r>
          <rPr>
            <b/>
            <sz val="9"/>
            <color indexed="81"/>
            <rFont val="Tahoma"/>
            <family val="2"/>
          </rPr>
          <t>Patricia Valdivia:</t>
        </r>
        <r>
          <rPr>
            <sz val="9"/>
            <color indexed="81"/>
            <rFont val="Tahoma"/>
            <family val="2"/>
          </rPr>
          <t xml:space="preserve">
Desembolso MASKAPITAL</t>
        </r>
      </text>
    </comment>
    <comment ref="B152" authorId="0" shapeId="0" xr:uid="{00000000-0006-0000-0100-00000F000000}">
      <text>
        <r>
          <rPr>
            <b/>
            <sz val="9"/>
            <color indexed="81"/>
            <rFont val="Tahoma"/>
            <family val="2"/>
          </rPr>
          <t>Patricia Valdivia:</t>
        </r>
        <r>
          <rPr>
            <sz val="9"/>
            <color indexed="81"/>
            <rFont val="Tahoma"/>
            <family val="2"/>
          </rPr>
          <t xml:space="preserve">
INGRESO GANADO POR BCP MIAMI USD 410.72
INGRESO GANADO POR PASNEC USD 1,918.63</t>
        </r>
      </text>
    </comment>
    <comment ref="C152" authorId="0" shapeId="0" xr:uid="{00000000-0006-0000-0100-000010000000}">
      <text>
        <r>
          <rPr>
            <b/>
            <sz val="9"/>
            <color indexed="81"/>
            <rFont val="Tahoma"/>
            <family val="2"/>
          </rPr>
          <t>Patricia Valdivia:</t>
        </r>
        <r>
          <rPr>
            <sz val="9"/>
            <color indexed="81"/>
            <rFont val="Tahoma"/>
            <family val="2"/>
          </rPr>
          <t xml:space="preserve">
INTERES GANADO EN BCP MIAMI</t>
        </r>
      </text>
    </comment>
    <comment ref="D152" authorId="0" shapeId="0" xr:uid="{00000000-0006-0000-0100-000011000000}">
      <text>
        <r>
          <rPr>
            <b/>
            <sz val="9"/>
            <color indexed="81"/>
            <rFont val="Tahoma"/>
            <family val="2"/>
          </rPr>
          <t>Patricia Valdivia:</t>
        </r>
        <r>
          <rPr>
            <sz val="9"/>
            <color indexed="81"/>
            <rFont val="Tahoma"/>
            <family val="2"/>
          </rPr>
          <t xml:space="preserve">
INTERES GANADO EN BCP MIAMI</t>
        </r>
      </text>
    </comment>
    <comment ref="E152" authorId="0" shapeId="0" xr:uid="{00000000-0006-0000-0100-000012000000}">
      <text>
        <r>
          <rPr>
            <b/>
            <sz val="9"/>
            <color indexed="81"/>
            <rFont val="Tahoma"/>
            <family val="2"/>
          </rPr>
          <t>Patricia Valdivia:</t>
        </r>
        <r>
          <rPr>
            <sz val="9"/>
            <color indexed="81"/>
            <rFont val="Tahoma"/>
            <family val="2"/>
          </rPr>
          <t xml:space="preserve">
INTERES GANADO EN BCP MIAMI</t>
        </r>
      </text>
    </comment>
    <comment ref="D157" authorId="0" shapeId="0" xr:uid="{00000000-0006-0000-0100-000013000000}">
      <text>
        <r>
          <rPr>
            <b/>
            <sz val="9"/>
            <color indexed="81"/>
            <rFont val="Tahoma"/>
            <family val="2"/>
          </rPr>
          <t>Patricia Valdivia:</t>
        </r>
        <r>
          <rPr>
            <sz val="9"/>
            <color indexed="81"/>
            <rFont val="Tahoma"/>
            <family val="2"/>
          </rPr>
          <t xml:space="preserve">
DESEMBOLSO FMO</t>
        </r>
      </text>
    </comment>
    <comment ref="E157" authorId="0" shapeId="0" xr:uid="{00000000-0006-0000-0100-000014000000}">
      <text>
        <r>
          <rPr>
            <b/>
            <sz val="9"/>
            <color indexed="81"/>
            <rFont val="Tahoma"/>
            <family val="2"/>
          </rPr>
          <t>Patricia Valdivia:</t>
        </r>
        <r>
          <rPr>
            <sz val="9"/>
            <color indexed="81"/>
            <rFont val="Tahoma"/>
            <family val="2"/>
          </rPr>
          <t xml:space="preserve">
DESEMBOLSOBID GOOGLE Y DFC</t>
        </r>
      </text>
    </comment>
    <comment ref="C158" authorId="0" shapeId="0" xr:uid="{00000000-0006-0000-0100-000015000000}">
      <text>
        <r>
          <rPr>
            <b/>
            <sz val="9"/>
            <color indexed="81"/>
            <rFont val="Tahoma"/>
            <family val="2"/>
          </rPr>
          <t>Patricia Valdivia:</t>
        </r>
        <r>
          <rPr>
            <sz val="9"/>
            <color indexed="81"/>
            <rFont val="Tahoma"/>
            <family val="2"/>
          </rPr>
          <t xml:space="preserve">
UP FRON FEE BIO SOBRE USD 10,000
COMMITMENT FEE DFC</t>
        </r>
      </text>
    </comment>
    <comment ref="E158" authorId="0" shapeId="0" xr:uid="{00000000-0006-0000-0100-000016000000}">
      <text>
        <r>
          <rPr>
            <b/>
            <sz val="9"/>
            <color indexed="81"/>
            <rFont val="Tahoma"/>
            <family val="2"/>
          </rPr>
          <t>Patricia Valdivia:</t>
        </r>
        <r>
          <rPr>
            <sz val="9"/>
            <color indexed="81"/>
            <rFont val="Tahoma"/>
            <family val="2"/>
          </rPr>
          <t xml:space="preserve">
DESEMBOLSO DFC Y BID GOOGLE</t>
        </r>
      </text>
    </comment>
    <comment ref="D166" authorId="0" shapeId="0" xr:uid="{00000000-0006-0000-0100-00001700000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<sst xmlns="http://schemas.openxmlformats.org/spreadsheetml/2006/main" count="751" uniqueCount="312">
  <si>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</si>
  <si>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</si>
  <si>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</si>
  <si>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</si>
  <si>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</si>
  <si>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</si>
  <si>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</si>
  <si>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</si>
  <si>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</si>
  <si>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</si>
  <si>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</si>
  <si>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</si>
  <si>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</si>
  <si>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</si>
  <si>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</si>
  <si>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</si>
  <si>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</si>
  <si>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</si>
  <si>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</si>
  <si>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</si>
  <si>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</si>
  <si>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</si>
  <si>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</si>
  <si>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</si>
  <si>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</si>
  <si>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</si>
  <si>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</si>
  <si>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</si>
  <si>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</si>
  <si>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</si>
  <si>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</si>
  <si>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</si>
  <si>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</si>
  <si>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</si>
  <si>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</si>
  <si>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</si>
  <si>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</si>
  <si>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</si>
  <si>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</si>
  <si>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</si>
  <si>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</si>
  <si>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</si>
  <si>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</si>
  <si>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</si>
  <si>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</si>
  <si>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</si>
  <si>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</si>
  <si>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</si>
  <si>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</si>
  <si>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</si>
  <si>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</si>
  <si>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</si>
  <si>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</si>
  <si>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</si>
  <si>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</si>
  <si>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</si>
  <si>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</si>
  <si>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</si>
  <si>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</si>
  <si>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</si>
  <si>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</si>
  <si>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</si>
  <si>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</si>
  <si>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</si>
  <si>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</si>
  <si>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</si>
  <si>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</si>
  <si>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</si>
  <si>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</si>
  <si>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</si>
  <si>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</si>
  <si>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</si>
  <si>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</si>
  <si>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</si>
  <si>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</si>
  <si>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</si>
  <si>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</si>
  <si>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</si>
  <si>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</si>
  <si>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</si>
  <si>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</si>
  <si>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</si>
  <si>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</si>
  <si>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</si>
  <si>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</si>
  <si>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</si>
  <si>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</si>
  <si>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</si>
  <si>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</si>
  <si>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</si>
  <si>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</si>
  <si>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</si>
  <si>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</si>
  <si>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</si>
  <si>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</si>
  <si>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</si>
  <si>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</si>
  <si>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</si>
  <si>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</si>
  <si>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</si>
  <si>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</si>
  <si>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</si>
  <si>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</si>
  <si>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</si>
  <si>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</si>
  <si>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</si>
  <si>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</si>
  <si>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</si>
  <si>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</si>
  <si>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</si>
  <si>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</si>
  <si>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</si>
  <si>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</si>
  <si>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</si>
  <si>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</si>
  <si>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</si>
  <si>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</si>
  <si>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</si>
  <si>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</si>
  <si>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</si>
  <si>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</si>
  <si>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</si>
  <si>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</si>
  <si>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</si>
  <si>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</si>
  <si>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</si>
  <si>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</si>
  <si>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</si>
  <si>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</si>
  <si>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</si>
  <si>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</si>
  <si>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</si>
  <si>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</si>
  <si>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</si>
  <si>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</si>
  <si>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</si>
  <si>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</si>
  <si>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</si>
  <si>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</si>
  <si>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</si>
  <si>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</si>
  <si>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</si>
  <si>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</si>
  <si>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</si>
  <si>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</si>
  <si>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</si>
  <si>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</si>
  <si>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</si>
  <si>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</si>
  <si>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</si>
  <si>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</si>
  <si>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</si>
  <si>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</si>
  <si>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</si>
  <si>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</si>
  <si>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</si>
  <si>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</si>
  <si>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</si>
  <si>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April</t>
  </si>
  <si>
    <t xml:space="preserve">        BID LAB GOOGLE</t>
  </si>
  <si>
    <t xml:space="preserve">        DFC</t>
  </si>
  <si>
    <t xml:space="preserve">       MASKAPITAL</t>
  </si>
  <si>
    <t>Maskapital</t>
  </si>
  <si>
    <t>Global Cogency</t>
  </si>
  <si>
    <t>UP, FRONT, CLOSING,FACILITY FEE - ACTIVO</t>
  </si>
  <si>
    <t>BID LAB</t>
  </si>
  <si>
    <t>Walker</t>
  </si>
  <si>
    <t>BIM MF NEXT %</t>
  </si>
  <si>
    <t>BIM LTD %</t>
  </si>
  <si>
    <t>VPP BIM MF NEXT</t>
  </si>
  <si>
    <t>VPP BIM LTD</t>
  </si>
  <si>
    <t>CALL</t>
  </si>
  <si>
    <t>May</t>
  </si>
  <si>
    <t xml:space="preserve">       INSOTEC II</t>
  </si>
  <si>
    <t xml:space="preserve">       CREDICAMPO</t>
  </si>
  <si>
    <t xml:space="preserve">       PROMUJER NICARAGUA</t>
  </si>
  <si>
    <t xml:space="preserve">       SOFIPA</t>
  </si>
  <si>
    <t xml:space="preserve">       ADICLA</t>
  </si>
  <si>
    <t>SMPS</t>
  </si>
  <si>
    <t>Insotec II</t>
  </si>
  <si>
    <t>Credicampo</t>
  </si>
  <si>
    <t>Nicaragua</t>
  </si>
  <si>
    <t>Promujer Nicaragua</t>
  </si>
  <si>
    <t>Total Nicaragua</t>
  </si>
  <si>
    <t>Sofipa</t>
  </si>
  <si>
    <t>Guatemala</t>
  </si>
  <si>
    <t>Adicla</t>
  </si>
  <si>
    <t>Total Guatemala</t>
  </si>
  <si>
    <t>Code</t>
  </si>
  <si>
    <t>Microfinance Institution</t>
  </si>
  <si>
    <t>Disbursement Date</t>
  </si>
  <si>
    <t>Amount (USD)</t>
  </si>
  <si>
    <t>ASEI</t>
  </si>
  <si>
    <t>Equipat</t>
  </si>
  <si>
    <t>AHSETFIN</t>
  </si>
  <si>
    <t>Pro Mujer BOL</t>
  </si>
  <si>
    <t>EDPYME Alternativa</t>
  </si>
  <si>
    <t>Peru</t>
  </si>
  <si>
    <t>Insotec</t>
  </si>
  <si>
    <t>Diaconía</t>
  </si>
  <si>
    <t>IDH</t>
  </si>
  <si>
    <t xml:space="preserve">MFI </t>
  </si>
  <si>
    <t>Data as of</t>
  </si>
  <si>
    <t>Loan Portfolio (USD MM)</t>
  </si>
  <si>
    <t>Number of clients</t>
  </si>
  <si>
    <t>Female clients (%)</t>
  </si>
  <si>
    <t>Rural clients 
(%)</t>
  </si>
  <si>
    <t>Average loan (USD)</t>
  </si>
  <si>
    <t>Average loan/GDP per Capita</t>
  </si>
  <si>
    <t>Write-offs 
(%)</t>
  </si>
  <si>
    <t>SPI4 audit</t>
  </si>
  <si>
    <t>PPI Users (a)</t>
  </si>
  <si>
    <t>Social Rating</t>
  </si>
  <si>
    <t>Social Rating  Report Year</t>
  </si>
  <si>
    <t>Unique Clients</t>
  </si>
  <si>
    <t>Banked or First Clients</t>
  </si>
  <si>
    <t>MFI</t>
  </si>
  <si>
    <t>Locfund's disbursed amount</t>
  </si>
  <si>
    <t>Average loan as of the date of disbursement (Investment report)</t>
  </si>
  <si>
    <t>Disbursement/Average loan</t>
  </si>
  <si>
    <t xml:space="preserve">Diaconía </t>
  </si>
  <si>
    <t>Completed</t>
  </si>
  <si>
    <t>Yes</t>
  </si>
  <si>
    <t>-</t>
  </si>
  <si>
    <t>N/A</t>
  </si>
  <si>
    <t xml:space="preserve">Pro-Mujer </t>
  </si>
  <si>
    <t>No</t>
  </si>
  <si>
    <t>n/a</t>
  </si>
  <si>
    <t xml:space="preserve">ASEI </t>
  </si>
  <si>
    <t xml:space="preserve">El Salvador </t>
  </si>
  <si>
    <t xml:space="preserve">Completed </t>
  </si>
  <si>
    <t>Ahsetfin</t>
  </si>
  <si>
    <t xml:space="preserve">No </t>
  </si>
  <si>
    <t>IDH Honduras</t>
  </si>
  <si>
    <t xml:space="preserve">n/a </t>
  </si>
  <si>
    <t>0-20</t>
  </si>
  <si>
    <t>20-40</t>
  </si>
  <si>
    <t>40-60</t>
  </si>
  <si>
    <t>60-80</t>
  </si>
  <si>
    <t>80-100</t>
  </si>
  <si>
    <t>Female</t>
  </si>
  <si>
    <t>Rural</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</si>
  <si>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</si>
  <si>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</si>
  <si>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</si>
  <si>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</si>
  <si>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</si>
  <si>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</si>
  <si>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CLIENTS</t>
  </si>
  <si>
    <t>Current</t>
  </si>
  <si>
    <t>Goal</t>
  </si>
  <si>
    <t>Deadline</t>
  </si>
  <si>
    <t>Status</t>
  </si>
  <si>
    <t xml:space="preserve">(g) Population below national poverty line (NPL). Source: https://www.cia.gov/library/publications/the-world-factbook/       </t>
  </si>
  <si>
    <t>Total number of clients</t>
  </si>
  <si>
    <t>Not Applicable</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</si>
  <si>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</si>
  <si>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Female clients</t>
  </si>
  <si>
    <t>≥ 50%</t>
  </si>
  <si>
    <t>Year 6</t>
  </si>
  <si>
    <t>Compliant</t>
  </si>
  <si>
    <t>N/A Not Available.</t>
  </si>
  <si>
    <t>Rural clients</t>
  </si>
  <si>
    <t>≥ 40%</t>
  </si>
  <si>
    <t>Average loan size (b)</t>
  </si>
  <si>
    <t>≤ 1,500</t>
  </si>
  <si>
    <t>Total clients reached by LOCFUND Next financing</t>
  </si>
  <si>
    <t>≥ 200,000</t>
  </si>
  <si>
    <t>In process</t>
  </si>
  <si>
    <t>Avg. loan size/GDP per capita (c)</t>
  </si>
  <si>
    <t>Write-offs</t>
  </si>
  <si>
    <t>≤ 3%</t>
  </si>
  <si>
    <t>LOCFUND NEXT COUNTRY EXPOSURE</t>
  </si>
  <si>
    <t>LOCFUND NEXT PORTFOLIO (d)</t>
  </si>
  <si>
    <t>GDP USD (e)</t>
  </si>
  <si>
    <t>HDI (f)</t>
  </si>
  <si>
    <t>% NPL (g)</t>
  </si>
  <si>
    <t>Gini Coefficient (h)</t>
  </si>
  <si>
    <t>OTHER COUNTRIES</t>
  </si>
  <si>
    <t>Argentina</t>
  </si>
  <si>
    <t>Barbados</t>
  </si>
  <si>
    <t>Belize</t>
  </si>
  <si>
    <t>Brazil</t>
  </si>
  <si>
    <t>Costa Rica</t>
  </si>
  <si>
    <t>Chile</t>
  </si>
  <si>
    <t>Dominican Rep.</t>
  </si>
  <si>
    <t>Haiti</t>
  </si>
  <si>
    <t>Jamaica</t>
  </si>
  <si>
    <t>Panama</t>
  </si>
  <si>
    <t>Paraguay</t>
  </si>
  <si>
    <t>Suriname</t>
  </si>
  <si>
    <t>Trinidad &amp; Tob.</t>
  </si>
  <si>
    <t>Uruguay</t>
  </si>
  <si>
    <t>Venezuela</t>
  </si>
  <si>
    <t>Equity Investors</t>
  </si>
  <si>
    <t>Commitment</t>
  </si>
  <si>
    <t>Drwan Amount</t>
  </si>
  <si>
    <t>Drawn Percentage</t>
  </si>
  <si>
    <t>Norfund</t>
  </si>
  <si>
    <t>SIFEM - Obviam</t>
  </si>
  <si>
    <t>Fundapro</t>
  </si>
  <si>
    <t>IDB Lab</t>
  </si>
  <si>
    <t>BIM LTD</t>
  </si>
  <si>
    <t>BIM Microfinance Next</t>
  </si>
  <si>
    <t>Debt Investors</t>
  </si>
  <si>
    <t>IDB - Google</t>
  </si>
  <si>
    <t>OeEB</t>
  </si>
  <si>
    <t>DEG</t>
  </si>
  <si>
    <t>TOTAL DEBT</t>
  </si>
  <si>
    <t>MasKapital</t>
  </si>
  <si>
    <t>Pro Mujer NIC</t>
  </si>
  <si>
    <t>SMART Certified MFIs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</si>
</sst>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00_);_(* \(#,##0.00\);_(* &quot;-&quot;??_);_(@_)"/>
    <numFmt numFmtId="165" formatCode="_-* #,##0.00\ _$_-;\-* #,##0.00\ _$_-;_-* &quot;-&quot;??\ _$_-;_-@_-"/>
    <numFmt numFmtId="166" formatCode="_(* #,##0_);_(* \(#,##0\);_(* &quot;-&quot;??_);_(@_)"/>
    <numFmt numFmtId="167" formatCode="0.0%"/>
    <numFmt numFmtId="168" formatCode="_-* #,##0\ _$_-;\-* #,##0\ _$_-;_-* &quot;-&quot;??\ _$_-;_-@_-"/>
    <numFmt numFmtId="169" formatCode="_-* #,##0.00\ &quot;$&quot;_-;\-* #,##0.00\ &quot;$&quot;_-;_-* &quot;-&quot;??\ &quot;$&quot;_-;_-@_-"/>
    <numFmt numFmtId="170" formatCode="0.0000%"/>
    <numFmt numFmtId="171" formatCode="0.000%"/>
    <numFmt numFmtId="172" formatCode="_-* #,##0.00\ _€_-;\-* #,##0.00\ _€_-;_-* &quot;-&quot;??\ _€_-;_-@_-"/>
    <numFmt numFmtId="173" formatCode="dd/mm/yy;@"/>
    <numFmt numFmtId="174" formatCode="#,##0.000_ ;\-#,##0.000\ "/>
    <numFmt numFmtId="175" formatCode="#,##0.000"/>
    <numFmt numFmtId="176" formatCode="#,##0.0"/>
    <numFmt numFmtId="177" formatCode="[$-409]mmm\-yy;@"/>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
      <i/>
      <sz val="9"/>
      <name val="Arial"/>
      <family val="2"/>
    </font>
    <font>
      <b/>
      <sz val="11"/>
      <color theme="1"/>
      <name val="Calibri"/>
      <family val="2"/>
      <scheme val="minor"/>
    </font>
    <font>
      <sz val="10"/>
      <color theme="5"/>
      <name val="Cambria"/>
      <family val="3"/>
      <scheme val="major"/>
    </font>
    <font>
      <b/>
      <sz val="7"/>
      <color rgb="FF22B14C"/>
      <name val="Arial"/>
      <family val="2"/>
    </font>
    <font>
      <b/>
      <sz val="10"/>
      <color theme="5"/>
      <name val="Cambria"/>
      <family val="3"/>
      <scheme val="major"/>
    </font>
    <font>
      <sz val="10"/>
      <name val="Calibri"/>
      <family val="3"/>
      <scheme val="minor"/>
    </font>
    <font>
      <sz val="6"/>
      <color theme="3"/>
      <name val="Arial"/>
      <family val="2"/>
    </font>
    <font>
      <sz val="6"/>
      <color theme="1"/>
      <name val="Arial"/>
      <family val="2"/>
    </font>
    <font>
      <sz val="11"/>
      <color theme="3"/>
      <name val="Calibri"/>
      <family val="3"/>
      <scheme val="minor"/>
    </font>
    <font>
      <sz val="8"/>
      <color theme="1" tint="0.249977111117893"/>
      <name val="Calibri"/>
      <family val="3"/>
      <scheme val="minor"/>
    </font>
    <font>
      <sz val="11"/>
      <color theme="1"/>
      <name val="Calibri"/>
      <family val="3"/>
      <scheme val="minor"/>
    </font>
    <font>
      <b/>
      <sz val="11"/>
      <name val="Calibri"/>
      <family val="2"/>
      <scheme val="minor"/>
    </font>
    <font>
      <b/>
      <sz val="11"/>
      <color theme="1"/>
      <name val="Arial"/>
      <family val="2"/>
    </font>
    <font>
      <sz val="11"/>
      <name val="Calibri"/>
      <family val="3"/>
      <scheme val="minor"/>
    </font>
    <font>
      <sz val="11"/>
      <name val="Calibri"/>
      <family val="2"/>
      <scheme val="minor"/>
    </font>
    <font>
      <b/>
      <sz val="9"/>
      <color rgb="FF22B14C"/>
      <name val="Arial"/>
      <family val="2"/>
    </font>
    <font>
      <sz val="8"/>
      <color theme="1"/>
      <name val="Arial"/>
      <family val="2"/>
    </font>
    <font>
      <b/>
      <sz val="10"/>
      <color theme="6"/>
      <name val="Arial"/>
      <family val="2"/>
    </font>
    <font>
      <sz val="9"/>
      <color theme="1"/>
      <name val="Arial"/>
      <family val="2"/>
    </font>
    <font>
      <sz val="9"/>
      <color theme="1"/>
      <name val="Calibri"/>
      <family val="2"/>
      <scheme val="minor"/>
    </font>
    <font>
      <sz val="9"/>
      <name val="Calibri"/>
      <family val="2"/>
      <scheme val="minor"/>
    </font>
    <font>
      <b/>
      <sz val="9"/>
      <color theme="6"/>
      <name val="Arial"/>
      <family val="2"/>
    </font>
    <font>
      <b/>
      <sz val="8"/>
      <color theme="6"/>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rgb="FFD9D9D9"/>
      </top>
      <bottom style="thin">
        <color rgb="FFD9D9D9"/>
      </bottom>
      <diagonal/>
    </border>
    <border>
      <left/>
      <right/>
      <top style="thin">
        <color theme="0" tint="-0.14996795556505021"/>
      </top>
      <bottom style="thin">
        <color theme="0" tint="-0.14993743705557422"/>
      </bottom>
      <diagonal/>
    </border>
    <border>
      <left/>
      <right/>
      <top/>
      <bottom style="thin">
        <color rgb="FFD9D9D9"/>
      </bottom>
      <diagonal/>
    </border>
    <border>
      <left/>
      <right/>
      <top/>
      <bottom style="thin">
        <color theme="0" tint="-0.14996795556505021"/>
      </bottom>
      <diagonal/>
    </border>
    <border>
      <left/>
      <right/>
      <top/>
      <bottom style="thin">
        <color theme="0" tint="-0.14993743705557422"/>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5">
    <xf numFmtId="0" fontId="0"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0" fontId="6" fillId="0" borderId="0"/>
    <xf numFmtId="0" fontId="7" fillId="0" borderId="0"/>
    <xf numFmtId="165" fontId="7" fillId="0" borderId="0" applyFont="0" applyFill="0" applyBorder="0" applyAlignment="0" applyProtection="0"/>
    <xf numFmtId="165" fontId="21" fillId="0" borderId="0" applyFont="0" applyFill="0" applyBorder="0" applyAlignment="0" applyProtection="0"/>
    <xf numFmtId="9" fontId="7" fillId="0" borderId="0" applyFont="0" applyFill="0" applyBorder="0" applyAlignment="0" applyProtection="0"/>
    <xf numFmtId="169" fontId="21" fillId="0" borderId="0" applyFont="0" applyFill="0" applyBorder="0" applyAlignment="0" applyProtection="0"/>
    <xf numFmtId="9" fontId="21"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164" fontId="4" fillId="0" borderId="0" applyFont="0" applyFill="0" applyBorder="0" applyAlignment="0" applyProtection="0"/>
    <xf numFmtId="0" fontId="3" fillId="0" borderId="0"/>
    <xf numFmtId="172" fontId="3"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172" fontId="7" fillId="0" borderId="0" applyFont="0" applyFill="0" applyBorder="0" applyAlignment="0" applyProtection="0"/>
    <xf numFmtId="0" fontId="2" fillId="0" borderId="0"/>
    <xf numFmtId="172" fontId="2" fillId="0" borderId="0" applyFont="0" applyFill="0" applyBorder="0" applyAlignment="0" applyProtection="0"/>
    <xf numFmtId="9" fontId="2" fillId="0" borderId="0" applyFont="0" applyFill="0" applyBorder="0" applyAlignment="0" applyProtection="0"/>
  </cellStyleXfs>
  <cellXfs count="332">
    <xf numFmtId="0" fontId="0" fillId="0" borderId="0" xfId="0"/>
    <xf numFmtId="0" fontId="9" fillId="0" borderId="0" xfId="0" applyFont="1" applyFill="1"/>
    <xf numFmtId="0" fontId="10" fillId="0" borderId="4" xfId="0" applyFont="1" applyFill="1" applyBorder="1" applyAlignment="1">
      <alignment horizontal="center"/>
    </xf>
    <xf numFmtId="0" fontId="9" fillId="0" borderId="0" xfId="0" applyFont="1" applyFill="1" applyBorder="1"/>
    <xf numFmtId="166" fontId="9" fillId="0" borderId="8" xfId="0" applyNumberFormat="1" applyFont="1" applyFill="1" applyBorder="1"/>
    <xf numFmtId="0" fontId="11" fillId="0" borderId="7" xfId="0" applyFont="1" applyBorder="1"/>
    <xf numFmtId="0" fontId="11" fillId="0" borderId="0" xfId="0" applyFont="1" applyBorder="1"/>
    <xf numFmtId="3" fontId="9" fillId="0" borderId="5" xfId="0" applyNumberFormat="1" applyFont="1" applyFill="1" applyBorder="1"/>
    <xf numFmtId="3" fontId="9" fillId="0" borderId="7" xfId="0" applyNumberFormat="1" applyFont="1" applyFill="1" applyBorder="1"/>
    <xf numFmtId="0" fontId="9" fillId="0" borderId="10" xfId="0" applyFont="1" applyBorder="1"/>
    <xf numFmtId="0" fontId="11" fillId="0" borderId="10" xfId="0" applyFont="1" applyFill="1" applyBorder="1"/>
    <xf numFmtId="166" fontId="9" fillId="0" borderId="7" xfId="0" applyNumberFormat="1" applyFont="1" applyFill="1" applyBorder="1"/>
    <xf numFmtId="0" fontId="10" fillId="0" borderId="12" xfId="0" applyFont="1" applyBorder="1"/>
    <xf numFmtId="166" fontId="10" fillId="0" borderId="4" xfId="0" applyNumberFormat="1" applyFont="1" applyFill="1" applyBorder="1"/>
    <xf numFmtId="166" fontId="10" fillId="0" borderId="0" xfId="0" applyNumberFormat="1" applyFont="1" applyFill="1" applyBorder="1"/>
    <xf numFmtId="166" fontId="9" fillId="0" borderId="0" xfId="0" applyNumberFormat="1" applyFont="1" applyFill="1"/>
    <xf numFmtId="0" fontId="10" fillId="0" borderId="4" xfId="0" applyFont="1" applyFill="1" applyBorder="1"/>
    <xf numFmtId="10" fontId="10" fillId="0" borderId="4" xfId="3" applyNumberFormat="1" applyFont="1" applyFill="1" applyBorder="1"/>
    <xf numFmtId="10" fontId="9" fillId="0" borderId="7" xfId="3" applyNumberFormat="1" applyFont="1" applyFill="1" applyBorder="1"/>
    <xf numFmtId="166" fontId="8" fillId="0" borderId="0" xfId="0" applyNumberFormat="1" applyFont="1" applyBorder="1"/>
    <xf numFmtId="10" fontId="9" fillId="0" borderId="5" xfId="3" applyNumberFormat="1" applyFont="1" applyFill="1" applyBorder="1"/>
    <xf numFmtId="0" fontId="12" fillId="0" borderId="0" xfId="0" applyFont="1" applyFill="1" applyBorder="1"/>
    <xf numFmtId="0" fontId="8" fillId="0" borderId="0" xfId="0" applyFont="1" applyFill="1" applyBorder="1"/>
    <xf numFmtId="0" fontId="9" fillId="0" borderId="11" xfId="0" applyFont="1" applyFill="1" applyBorder="1"/>
    <xf numFmtId="0" fontId="10" fillId="0" borderId="11" xfId="0" applyFont="1" applyFill="1" applyBorder="1"/>
    <xf numFmtId="0" fontId="9" fillId="0" borderId="5" xfId="0" applyFont="1" applyFill="1" applyBorder="1"/>
    <xf numFmtId="168" fontId="9" fillId="0" borderId="0" xfId="1" applyNumberFormat="1" applyFont="1" applyFill="1"/>
    <xf numFmtId="0" fontId="15" fillId="0" borderId="0" xfId="0" applyFont="1" applyFill="1"/>
    <xf numFmtId="166" fontId="9" fillId="0" borderId="10" xfId="0" applyNumberFormat="1" applyFont="1" applyFill="1" applyBorder="1"/>
    <xf numFmtId="0" fontId="7" fillId="0" borderId="7" xfId="0" applyFont="1" applyFill="1" applyBorder="1"/>
    <xf numFmtId="166" fontId="7" fillId="0" borderId="8" xfId="0" applyNumberFormat="1" applyFont="1" applyFill="1" applyBorder="1" applyAlignment="1"/>
    <xf numFmtId="0" fontId="10" fillId="0" borderId="11" xfId="0" applyFont="1" applyFill="1" applyBorder="1" applyAlignment="1">
      <alignment horizontal="center"/>
    </xf>
    <xf numFmtId="168" fontId="19" fillId="0" borderId="12" xfId="2" applyNumberFormat="1" applyFont="1" applyFill="1" applyBorder="1" applyAlignment="1">
      <alignment horizontal="center"/>
    </xf>
    <xf numFmtId="168" fontId="19" fillId="0" borderId="1" xfId="2" applyNumberFormat="1" applyFont="1" applyFill="1" applyBorder="1" applyAlignment="1">
      <alignment horizontal="center"/>
    </xf>
    <xf numFmtId="168" fontId="19" fillId="0" borderId="4" xfId="2" applyNumberFormat="1" applyFont="1" applyFill="1" applyBorder="1" applyAlignment="1">
      <alignment horizontal="center"/>
    </xf>
    <xf numFmtId="166" fontId="7" fillId="0" borderId="8" xfId="0" applyNumberFormat="1" applyFont="1" applyFill="1" applyBorder="1"/>
    <xf numFmtId="10" fontId="9" fillId="0" borderId="0" xfId="3" applyNumberFormat="1" applyFont="1" applyFill="1" applyBorder="1"/>
    <xf numFmtId="0" fontId="8" fillId="0" borderId="0" xfId="2" applyFont="1" applyFill="1"/>
    <xf numFmtId="0" fontId="11" fillId="0" borderId="0" xfId="0" applyFont="1" applyFill="1" applyBorder="1"/>
    <xf numFmtId="0" fontId="11" fillId="0" borderId="10" xfId="0" applyFont="1" applyBorder="1"/>
    <xf numFmtId="166" fontId="10" fillId="0" borderId="5" xfId="0" applyNumberFormat="1" applyFont="1" applyFill="1" applyBorder="1"/>
    <xf numFmtId="166" fontId="7" fillId="0" borderId="7" xfId="0" applyNumberFormat="1" applyFont="1" applyFill="1" applyBorder="1"/>
    <xf numFmtId="0" fontId="10" fillId="0" borderId="12" xfId="0" applyFont="1" applyFill="1" applyBorder="1"/>
    <xf numFmtId="0" fontId="10" fillId="0" borderId="0" xfId="0" applyFont="1" applyFill="1" applyBorder="1"/>
    <xf numFmtId="166" fontId="11" fillId="0" borderId="0" xfId="0" applyNumberFormat="1" applyFont="1" applyFill="1" applyBorder="1"/>
    <xf numFmtId="167" fontId="8" fillId="0" borderId="0" xfId="3" applyNumberFormat="1" applyFont="1" applyFill="1"/>
    <xf numFmtId="164" fontId="11" fillId="0" borderId="0" xfId="0" applyNumberFormat="1" applyFont="1" applyFill="1" applyBorder="1"/>
    <xf numFmtId="166" fontId="8" fillId="0" borderId="0" xfId="0" applyNumberFormat="1" applyFont="1" applyFill="1" applyBorder="1"/>
    <xf numFmtId="10" fontId="9" fillId="0" borderId="0" xfId="3" applyNumberFormat="1" applyFont="1" applyFill="1"/>
    <xf numFmtId="166" fontId="8" fillId="0" borderId="7" xfId="0" applyNumberFormat="1" applyFont="1" applyFill="1" applyBorder="1"/>
    <xf numFmtId="0" fontId="9" fillId="0" borderId="7" xfId="0" applyFont="1" applyFill="1" applyBorder="1"/>
    <xf numFmtId="166" fontId="9" fillId="0" borderId="0" xfId="0" applyNumberFormat="1" applyFont="1" applyFill="1" applyBorder="1"/>
    <xf numFmtId="10" fontId="8" fillId="0" borderId="7" xfId="3" applyNumberFormat="1" applyFont="1" applyFill="1" applyBorder="1"/>
    <xf numFmtId="10" fontId="9" fillId="0" borderId="6" xfId="3" applyNumberFormat="1" applyFont="1" applyFill="1" applyBorder="1"/>
    <xf numFmtId="10" fontId="9" fillId="0" borderId="8" xfId="3" applyNumberFormat="1" applyFont="1" applyFill="1" applyBorder="1"/>
    <xf numFmtId="168" fontId="8" fillId="0" borderId="7" xfId="2" applyNumberFormat="1" applyFont="1" applyFill="1" applyBorder="1"/>
    <xf numFmtId="168" fontId="16" fillId="0" borderId="4" xfId="2" applyNumberFormat="1" applyFont="1" applyFill="1" applyBorder="1"/>
    <xf numFmtId="168" fontId="8" fillId="0" borderId="0" xfId="1" applyNumberFormat="1" applyFont="1" applyFill="1"/>
    <xf numFmtId="168" fontId="22" fillId="0" borderId="0" xfId="1" applyNumberFormat="1" applyFont="1" applyFill="1"/>
    <xf numFmtId="164" fontId="9" fillId="0" borderId="0" xfId="0" applyNumberFormat="1" applyFont="1" applyFill="1" applyBorder="1"/>
    <xf numFmtId="166" fontId="24" fillId="0" borderId="0" xfId="0" applyNumberFormat="1" applyFont="1" applyFill="1" applyBorder="1"/>
    <xf numFmtId="10" fontId="7" fillId="0" borderId="7" xfId="3" applyNumberFormat="1" applyFont="1" applyFill="1" applyBorder="1" applyAlignment="1"/>
    <xf numFmtId="166" fontId="7" fillId="0" borderId="7" xfId="0" applyNumberFormat="1" applyFont="1" applyFill="1" applyBorder="1" applyAlignment="1"/>
    <xf numFmtId="10" fontId="7" fillId="0" borderId="8" xfId="3" applyNumberFormat="1" applyFont="1" applyFill="1" applyBorder="1"/>
    <xf numFmtId="166" fontId="9" fillId="0" borderId="0" xfId="3" applyNumberFormat="1" applyFont="1" applyFill="1" applyBorder="1"/>
    <xf numFmtId="166" fontId="9" fillId="0" borderId="3" xfId="0" applyNumberFormat="1" applyFont="1" applyFill="1" applyBorder="1"/>
    <xf numFmtId="166" fontId="9" fillId="0" borderId="6" xfId="0" applyNumberFormat="1" applyFont="1" applyFill="1" applyBorder="1"/>
    <xf numFmtId="166" fontId="10" fillId="0" borderId="2" xfId="0" applyNumberFormat="1" applyFont="1" applyFill="1" applyBorder="1"/>
    <xf numFmtId="166" fontId="10" fillId="0" borderId="5" xfId="0" applyNumberFormat="1" applyFont="1" applyFill="1" applyBorder="1" applyAlignment="1">
      <alignment horizontal="center"/>
    </xf>
    <xf numFmtId="166" fontId="10" fillId="0" borderId="11" xfId="0" applyNumberFormat="1" applyFont="1" applyFill="1" applyBorder="1"/>
    <xf numFmtId="166" fontId="9" fillId="0" borderId="5" xfId="0" applyNumberFormat="1" applyFont="1" applyFill="1" applyBorder="1"/>
    <xf numFmtId="166" fontId="9" fillId="0" borderId="11" xfId="0" applyNumberFormat="1" applyFont="1" applyFill="1" applyBorder="1"/>
    <xf numFmtId="0" fontId="11" fillId="0" borderId="7" xfId="0" applyFont="1" applyFill="1" applyBorder="1"/>
    <xf numFmtId="0" fontId="9" fillId="0" borderId="4" xfId="0" applyFont="1" applyFill="1" applyBorder="1"/>
    <xf numFmtId="165" fontId="22" fillId="0" borderId="0" xfId="1" applyFont="1" applyFill="1"/>
    <xf numFmtId="164" fontId="12" fillId="0" borderId="0" xfId="0" applyNumberFormat="1" applyFont="1" applyFill="1" applyBorder="1"/>
    <xf numFmtId="165" fontId="9" fillId="0" borderId="0" xfId="1" applyFont="1" applyFill="1" applyBorder="1"/>
    <xf numFmtId="0" fontId="9" fillId="0" borderId="9" xfId="0" applyFont="1" applyFill="1" applyBorder="1"/>
    <xf numFmtId="0" fontId="9" fillId="0" borderId="10" xfId="0" applyFont="1" applyFill="1" applyBorder="1"/>
    <xf numFmtId="0" fontId="14" fillId="0" borderId="10" xfId="0" applyFont="1" applyFill="1" applyBorder="1"/>
    <xf numFmtId="0" fontId="13" fillId="0" borderId="0" xfId="0" applyFont="1" applyFill="1" applyBorder="1"/>
    <xf numFmtId="0" fontId="10" fillId="0" borderId="5" xfId="0" applyFont="1" applyFill="1" applyBorder="1"/>
    <xf numFmtId="10" fontId="10" fillId="0" borderId="4" xfId="3" applyNumberFormat="1" applyFont="1" applyFill="1" applyBorder="1" applyAlignment="1">
      <alignment horizontal="center" wrapText="1"/>
    </xf>
    <xf numFmtId="10" fontId="10" fillId="0" borderId="2" xfId="3" applyNumberFormat="1" applyFont="1" applyFill="1" applyBorder="1"/>
    <xf numFmtId="10" fontId="10" fillId="0" borderId="0" xfId="3" applyNumberFormat="1" applyFont="1" applyFill="1" applyBorder="1"/>
    <xf numFmtId="10" fontId="20" fillId="0" borderId="0" xfId="3" applyNumberFormat="1" applyFont="1" applyFill="1" applyBorder="1"/>
    <xf numFmtId="10" fontId="12" fillId="0" borderId="0" xfId="3" applyNumberFormat="1" applyFont="1" applyFill="1" applyBorder="1"/>
    <xf numFmtId="166" fontId="12" fillId="0" borderId="0" xfId="3" applyNumberFormat="1" applyFont="1" applyFill="1" applyBorder="1"/>
    <xf numFmtId="168" fontId="8" fillId="0" borderId="0" xfId="2" applyNumberFormat="1" applyFont="1" applyFill="1"/>
    <xf numFmtId="166" fontId="7" fillId="0" borderId="0" xfId="3" applyNumberFormat="1" applyFont="1" applyFill="1" applyBorder="1"/>
    <xf numFmtId="165" fontId="9" fillId="0" borderId="0" xfId="1" applyFont="1" applyFill="1"/>
    <xf numFmtId="165" fontId="8" fillId="0" borderId="0" xfId="1" applyFont="1" applyFill="1"/>
    <xf numFmtId="0" fontId="8" fillId="0" borderId="10" xfId="2" applyFont="1" applyFill="1" applyBorder="1"/>
    <xf numFmtId="164" fontId="9" fillId="0" borderId="0" xfId="0" applyNumberFormat="1" applyFont="1" applyFill="1"/>
    <xf numFmtId="165" fontId="8" fillId="0" borderId="0" xfId="2" applyNumberFormat="1" applyFont="1" applyFill="1"/>
    <xf numFmtId="166" fontId="9" fillId="0" borderId="3" xfId="3" applyNumberFormat="1" applyFont="1" applyFill="1" applyBorder="1"/>
    <xf numFmtId="168" fontId="11" fillId="0" borderId="0" xfId="1" applyNumberFormat="1" applyFont="1" applyFill="1" applyBorder="1"/>
    <xf numFmtId="0" fontId="23" fillId="0" borderId="7" xfId="0" applyFont="1" applyFill="1" applyBorder="1"/>
    <xf numFmtId="166" fontId="9" fillId="0" borderId="8" xfId="0" applyNumberFormat="1" applyFont="1" applyFill="1" applyBorder="1" applyAlignment="1"/>
    <xf numFmtId="164" fontId="8" fillId="0" borderId="0" xfId="2" applyNumberFormat="1" applyFont="1" applyFill="1"/>
    <xf numFmtId="0" fontId="8" fillId="0" borderId="8" xfId="2" applyFont="1" applyFill="1" applyBorder="1"/>
    <xf numFmtId="168" fontId="19" fillId="0" borderId="4" xfId="2" applyNumberFormat="1" applyFont="1" applyFill="1" applyBorder="1"/>
    <xf numFmtId="43" fontId="8" fillId="0" borderId="0" xfId="1" applyNumberFormat="1" applyFont="1" applyFill="1"/>
    <xf numFmtId="9" fontId="12" fillId="0" borderId="0" xfId="3" applyFont="1" applyFill="1" applyBorder="1"/>
    <xf numFmtId="4" fontId="11" fillId="0" borderId="0" xfId="0" applyNumberFormat="1" applyFont="1" applyFill="1" applyBorder="1"/>
    <xf numFmtId="0" fontId="7" fillId="0" borderId="0" xfId="0" applyFont="1" applyFill="1" applyBorder="1"/>
    <xf numFmtId="165" fontId="7" fillId="0" borderId="0" xfId="1" applyFont="1" applyFill="1" applyBorder="1"/>
    <xf numFmtId="0" fontId="13" fillId="0" borderId="7" xfId="0" applyFont="1" applyFill="1" applyBorder="1"/>
    <xf numFmtId="10" fontId="8" fillId="0" borderId="0" xfId="3" applyNumberFormat="1" applyFont="1" applyFill="1" applyBorder="1"/>
    <xf numFmtId="164" fontId="8" fillId="0" borderId="0" xfId="0" applyNumberFormat="1" applyFont="1" applyFill="1" applyBorder="1"/>
    <xf numFmtId="165" fontId="12" fillId="0" borderId="0" xfId="1" applyFont="1" applyFill="1" applyBorder="1"/>
    <xf numFmtId="164" fontId="12" fillId="0" borderId="0" xfId="3" applyNumberFormat="1" applyFont="1" applyFill="1" applyBorder="1"/>
    <xf numFmtId="166" fontId="11" fillId="0" borderId="10" xfId="0" applyNumberFormat="1" applyFont="1" applyFill="1" applyBorder="1"/>
    <xf numFmtId="10" fontId="11" fillId="0" borderId="7" xfId="3" applyNumberFormat="1" applyFont="1" applyFill="1" applyBorder="1"/>
    <xf numFmtId="0" fontId="26" fillId="0" borderId="7" xfId="0" applyFont="1" applyFill="1" applyBorder="1"/>
    <xf numFmtId="10" fontId="27" fillId="0" borderId="0" xfId="3" applyNumberFormat="1" applyFont="1" applyFill="1" applyBorder="1"/>
    <xf numFmtId="0" fontId="26" fillId="0" borderId="0" xfId="0" applyFont="1" applyFill="1" applyBorder="1"/>
    <xf numFmtId="166" fontId="12" fillId="0" borderId="7" xfId="3" applyNumberFormat="1" applyFont="1" applyFill="1" applyBorder="1"/>
    <xf numFmtId="166" fontId="13" fillId="0" borderId="7" xfId="0" applyNumberFormat="1" applyFont="1" applyFill="1" applyBorder="1"/>
    <xf numFmtId="166" fontId="13" fillId="0" borderId="7" xfId="3" applyNumberFormat="1" applyFont="1" applyFill="1" applyBorder="1"/>
    <xf numFmtId="166" fontId="26" fillId="0" borderId="7" xfId="0" applyNumberFormat="1" applyFont="1" applyFill="1" applyBorder="1"/>
    <xf numFmtId="9" fontId="9" fillId="0" borderId="0" xfId="3" applyFont="1" applyFill="1" applyBorder="1"/>
    <xf numFmtId="166" fontId="26" fillId="0" borderId="7" xfId="3" applyNumberFormat="1" applyFont="1" applyFill="1" applyBorder="1"/>
    <xf numFmtId="170" fontId="12" fillId="0" borderId="0" xfId="3" applyNumberFormat="1" applyFont="1" applyFill="1" applyBorder="1"/>
    <xf numFmtId="166" fontId="0" fillId="0" borderId="7" xfId="0" applyNumberFormat="1" applyFill="1" applyBorder="1"/>
    <xf numFmtId="14" fontId="9" fillId="0" borderId="0" xfId="0" applyNumberFormat="1" applyFont="1" applyFill="1" applyBorder="1"/>
    <xf numFmtId="166" fontId="10" fillId="0" borderId="12" xfId="0" applyNumberFormat="1" applyFont="1" applyFill="1" applyBorder="1"/>
    <xf numFmtId="166" fontId="0" fillId="0" borderId="8" xfId="0" applyNumberFormat="1" applyFill="1" applyBorder="1"/>
    <xf numFmtId="166" fontId="10" fillId="0" borderId="0" xfId="0" applyNumberFormat="1" applyFont="1" applyFill="1"/>
    <xf numFmtId="166" fontId="24" fillId="0" borderId="0" xfId="0" applyNumberFormat="1" applyFont="1" applyFill="1"/>
    <xf numFmtId="164" fontId="10" fillId="0" borderId="4" xfId="0" applyNumberFormat="1" applyFont="1" applyFill="1" applyBorder="1"/>
    <xf numFmtId="0" fontId="14" fillId="0" borderId="0" xfId="0" applyFont="1"/>
    <xf numFmtId="0" fontId="23" fillId="0" borderId="0" xfId="0" applyFont="1"/>
    <xf numFmtId="0" fontId="11" fillId="0" borderId="0" xfId="0" applyFont="1"/>
    <xf numFmtId="0" fontId="13" fillId="0" borderId="0" xfId="0" applyFont="1"/>
    <xf numFmtId="166" fontId="7" fillId="0" borderId="7" xfId="0" applyNumberFormat="1" applyFont="1" applyBorder="1"/>
    <xf numFmtId="166" fontId="8" fillId="0" borderId="7" xfId="0" applyNumberFormat="1" applyFont="1" applyBorder="1"/>
    <xf numFmtId="166" fontId="9" fillId="0" borderId="7" xfId="0" applyNumberFormat="1" applyFont="1" applyBorder="1"/>
    <xf numFmtId="166" fontId="10" fillId="0" borderId="4" xfId="0" applyNumberFormat="1" applyFont="1" applyBorder="1"/>
    <xf numFmtId="166" fontId="7" fillId="0" borderId="8" xfId="0" applyNumberFormat="1" applyFont="1" applyBorder="1"/>
    <xf numFmtId="166" fontId="7" fillId="0" borderId="11" xfId="0" applyNumberFormat="1" applyFont="1" applyBorder="1"/>
    <xf numFmtId="168" fontId="10" fillId="0" borderId="0" xfId="1" applyNumberFormat="1" applyFont="1" applyFill="1" applyBorder="1"/>
    <xf numFmtId="164" fontId="11" fillId="0" borderId="7" xfId="3" applyNumberFormat="1" applyFont="1" applyFill="1" applyBorder="1"/>
    <xf numFmtId="10" fontId="7" fillId="0" borderId="7" xfId="3" applyNumberFormat="1" applyFont="1" applyBorder="1"/>
    <xf numFmtId="10" fontId="8" fillId="0" borderId="7" xfId="3" applyNumberFormat="1" applyFont="1" applyBorder="1"/>
    <xf numFmtId="166" fontId="7" fillId="0" borderId="10" xfId="0" applyNumberFormat="1" applyFont="1" applyBorder="1"/>
    <xf numFmtId="166" fontId="8" fillId="0" borderId="10" xfId="0" applyNumberFormat="1" applyFont="1" applyBorder="1"/>
    <xf numFmtId="166" fontId="7" fillId="0" borderId="0" xfId="0" applyNumberFormat="1" applyFont="1" applyBorder="1"/>
    <xf numFmtId="165" fontId="11" fillId="0" borderId="0" xfId="1" applyFont="1" applyFill="1" applyBorder="1"/>
    <xf numFmtId="10" fontId="7" fillId="0" borderId="0" xfId="3" applyNumberFormat="1" applyFont="1" applyFill="1" applyBorder="1"/>
    <xf numFmtId="166" fontId="12" fillId="0" borderId="0" xfId="0" applyNumberFormat="1" applyFont="1" applyFill="1" applyBorder="1"/>
    <xf numFmtId="165" fontId="10" fillId="0" borderId="0" xfId="1" applyFont="1" applyFill="1" applyBorder="1"/>
    <xf numFmtId="164" fontId="0" fillId="0" borderId="7" xfId="0" applyNumberFormat="1" applyFill="1" applyBorder="1"/>
    <xf numFmtId="9" fontId="7" fillId="0" borderId="0" xfId="3" applyFont="1" applyFill="1" applyBorder="1"/>
    <xf numFmtId="171" fontId="12" fillId="0" borderId="0" xfId="3" applyNumberFormat="1" applyFont="1" applyFill="1" applyBorder="1"/>
    <xf numFmtId="0" fontId="14" fillId="0" borderId="0" xfId="0" applyFont="1" applyFill="1"/>
    <xf numFmtId="0" fontId="23" fillId="0" borderId="0" xfId="0" applyFont="1" applyFill="1"/>
    <xf numFmtId="10" fontId="7" fillId="0" borderId="7" xfId="3" applyNumberFormat="1" applyFont="1" applyFill="1" applyBorder="1"/>
    <xf numFmtId="166" fontId="7" fillId="0" borderId="10" xfId="0" applyNumberFormat="1" applyFont="1" applyFill="1" applyBorder="1"/>
    <xf numFmtId="166" fontId="7" fillId="0" borderId="0" xfId="0" applyNumberFormat="1" applyFont="1" applyFill="1" applyBorder="1"/>
    <xf numFmtId="0" fontId="11" fillId="0" borderId="0" xfId="0" applyFont="1" applyFill="1"/>
    <xf numFmtId="0" fontId="13" fillId="0" borderId="0" xfId="0" applyFont="1" applyFill="1"/>
    <xf numFmtId="166" fontId="8" fillId="0" borderId="10" xfId="0" applyNumberFormat="1" applyFont="1" applyFill="1" applyBorder="1"/>
    <xf numFmtId="0" fontId="29" fillId="0" borderId="0" xfId="0" applyFont="1" applyFill="1" applyBorder="1"/>
    <xf numFmtId="0" fontId="7" fillId="0" borderId="0" xfId="0" applyFont="1"/>
    <xf numFmtId="0" fontId="29" fillId="0" borderId="0" xfId="0" applyFont="1" applyAlignment="1">
      <alignment horizontal="center"/>
    </xf>
    <xf numFmtId="0" fontId="29" fillId="0" borderId="0" xfId="0" applyFont="1"/>
    <xf numFmtId="165" fontId="7" fillId="0" borderId="0" xfId="1" applyFont="1"/>
    <xf numFmtId="165" fontId="29" fillId="0" borderId="14" xfId="1" applyFont="1" applyBorder="1"/>
    <xf numFmtId="164" fontId="0" fillId="0" borderId="0" xfId="0" applyNumberFormat="1"/>
    <xf numFmtId="14" fontId="29" fillId="0" borderId="0" xfId="0" applyNumberFormat="1" applyFont="1" applyAlignment="1">
      <alignment horizontal="left"/>
    </xf>
    <xf numFmtId="165" fontId="7" fillId="0" borderId="0" xfId="1" applyFont="1" applyFill="1"/>
    <xf numFmtId="166" fontId="11" fillId="2" borderId="10" xfId="0" applyNumberFormat="1" applyFont="1" applyFill="1" applyBorder="1"/>
    <xf numFmtId="166" fontId="0" fillId="0" borderId="0" xfId="0" applyNumberFormat="1"/>
    <xf numFmtId="168" fontId="19" fillId="0" borderId="4" xfId="2" applyNumberFormat="1" applyFont="1" applyFill="1" applyBorder="1" applyAlignment="1">
      <alignment horizontal="center" wrapText="1"/>
    </xf>
    <xf numFmtId="165" fontId="0" fillId="0" borderId="0" xfId="1" applyFont="1"/>
    <xf numFmtId="172" fontId="12" fillId="0" borderId="0" xfId="0" applyNumberFormat="1" applyFont="1" applyFill="1" applyBorder="1"/>
    <xf numFmtId="172" fontId="9" fillId="0" borderId="0" xfId="0" applyNumberFormat="1" applyFont="1" applyFill="1"/>
    <xf numFmtId="0" fontId="30" fillId="0" borderId="7" xfId="0" applyFont="1" applyFill="1" applyBorder="1"/>
    <xf numFmtId="166" fontId="30" fillId="0" borderId="10" xfId="0" applyNumberFormat="1" applyFont="1" applyFill="1" applyBorder="1"/>
    <xf numFmtId="10" fontId="30" fillId="0" borderId="7" xfId="3" applyNumberFormat="1" applyFont="1" applyFill="1" applyBorder="1"/>
    <xf numFmtId="0" fontId="30" fillId="0" borderId="0" xfId="0" applyFont="1" applyFill="1" applyBorder="1"/>
    <xf numFmtId="165" fontId="30" fillId="0" borderId="0" xfId="1" applyFont="1" applyFill="1" applyBorder="1"/>
    <xf numFmtId="14" fontId="30" fillId="0" borderId="0" xfId="1" applyNumberFormat="1" applyFont="1" applyFill="1" applyBorder="1"/>
    <xf numFmtId="164" fontId="30" fillId="0" borderId="0" xfId="0" applyNumberFormat="1" applyFont="1" applyFill="1" applyBorder="1"/>
    <xf numFmtId="166" fontId="30" fillId="0" borderId="0" xfId="0" applyNumberFormat="1" applyFont="1" applyFill="1" applyBorder="1"/>
    <xf numFmtId="166" fontId="8" fillId="0" borderId="0" xfId="3" applyNumberFormat="1" applyFont="1" applyFill="1" applyBorder="1"/>
    <xf numFmtId="164" fontId="9" fillId="0" borderId="10" xfId="0" applyNumberFormat="1" applyFont="1" applyFill="1" applyBorder="1"/>
    <xf numFmtId="0" fontId="29" fillId="0" borderId="0" xfId="19" applyFont="1"/>
    <xf numFmtId="0" fontId="7" fillId="0" borderId="0" xfId="19"/>
    <xf numFmtId="173" fontId="7" fillId="0" borderId="0" xfId="19" applyNumberFormat="1"/>
    <xf numFmtId="0" fontId="2" fillId="0" borderId="0" xfId="22" applyAlignment="1">
      <alignment vertical="center"/>
    </xf>
    <xf numFmtId="0" fontId="2" fillId="0" borderId="0" xfId="22" applyAlignment="1">
      <alignment horizontal="center" vertical="center"/>
    </xf>
    <xf numFmtId="0" fontId="2" fillId="3" borderId="0" xfId="22" applyFill="1" applyAlignment="1">
      <alignment vertical="center"/>
    </xf>
    <xf numFmtId="0" fontId="32" fillId="0" borderId="0" xfId="22" applyFont="1" applyAlignment="1">
      <alignment vertical="center"/>
    </xf>
    <xf numFmtId="0" fontId="33" fillId="4" borderId="15" xfId="22" applyFont="1" applyFill="1" applyBorder="1" applyAlignment="1">
      <alignment vertical="center" wrapText="1"/>
    </xf>
    <xf numFmtId="0" fontId="33" fillId="4" borderId="15" xfId="22" applyFont="1" applyFill="1" applyBorder="1" applyAlignment="1">
      <alignment horizontal="center" vertical="center" wrapText="1"/>
    </xf>
    <xf numFmtId="0" fontId="33" fillId="0" borderId="15" xfId="22" applyFont="1" applyBorder="1" applyAlignment="1">
      <alignment horizontal="center" vertical="center" wrapText="1"/>
    </xf>
    <xf numFmtId="0" fontId="34" fillId="3" borderId="0" xfId="22" applyFont="1" applyFill="1" applyAlignment="1">
      <alignment horizontal="center" vertical="center" wrapText="1"/>
    </xf>
    <xf numFmtId="0" fontId="35" fillId="0" borderId="0" xfId="2" applyFont="1"/>
    <xf numFmtId="0" fontId="34" fillId="5" borderId="16" xfId="22" applyFont="1" applyFill="1" applyBorder="1" applyAlignment="1">
      <alignment horizontal="center" vertical="center" wrapText="1"/>
    </xf>
    <xf numFmtId="0" fontId="36" fillId="0" borderId="0" xfId="22" applyFont="1"/>
    <xf numFmtId="0" fontId="37" fillId="4" borderId="17" xfId="22" applyFont="1" applyFill="1" applyBorder="1" applyAlignment="1">
      <alignment horizontal="left"/>
    </xf>
    <xf numFmtId="17" fontId="37" fillId="0" borderId="17" xfId="22" quotePrefix="1" applyNumberFormat="1" applyFont="1" applyBorder="1" applyAlignment="1">
      <alignment horizontal="center"/>
    </xf>
    <xf numFmtId="4" fontId="37" fillId="4" borderId="17" xfId="23" applyNumberFormat="1" applyFont="1" applyFill="1" applyBorder="1" applyAlignment="1" applyProtection="1">
      <alignment horizontal="center"/>
    </xf>
    <xf numFmtId="3" fontId="37" fillId="0" borderId="17" xfId="23" applyNumberFormat="1" applyFont="1" applyFill="1" applyBorder="1" applyAlignment="1" applyProtection="1">
      <alignment horizontal="center"/>
    </xf>
    <xf numFmtId="9" fontId="37" fillId="0" borderId="17" xfId="17" applyFont="1" applyFill="1" applyBorder="1" applyAlignment="1" applyProtection="1">
      <alignment horizontal="center"/>
    </xf>
    <xf numFmtId="9" fontId="37" fillId="0" borderId="17" xfId="24" applyFont="1" applyFill="1" applyBorder="1" applyAlignment="1" applyProtection="1">
      <alignment horizontal="center"/>
    </xf>
    <xf numFmtId="3" fontId="37" fillId="4" borderId="17" xfId="23" applyNumberFormat="1" applyFont="1" applyFill="1" applyBorder="1" applyAlignment="1" applyProtection="1">
      <alignment horizontal="center"/>
    </xf>
    <xf numFmtId="10" fontId="37" fillId="0" borderId="17" xfId="24" applyNumberFormat="1" applyFont="1" applyFill="1" applyBorder="1" applyAlignment="1" applyProtection="1">
      <alignment horizontal="center"/>
    </xf>
    <xf numFmtId="0" fontId="37" fillId="0" borderId="17" xfId="22" applyFont="1" applyBorder="1" applyAlignment="1">
      <alignment horizontal="center"/>
    </xf>
    <xf numFmtId="9" fontId="37" fillId="4" borderId="17" xfId="17" applyFont="1" applyFill="1" applyBorder="1" applyAlignment="1" applyProtection="1">
      <alignment horizontal="center"/>
    </xf>
    <xf numFmtId="0" fontId="38" fillId="0" borderId="0" xfId="22" applyFont="1"/>
    <xf numFmtId="3" fontId="39" fillId="5" borderId="18" xfId="23" applyNumberFormat="1" applyFont="1" applyFill="1" applyBorder="1" applyAlignment="1" applyProtection="1">
      <alignment horizontal="center" wrapText="1"/>
    </xf>
    <xf numFmtId="3" fontId="39" fillId="5" borderId="18" xfId="23" applyNumberFormat="1" applyFont="1" applyFill="1" applyBorder="1" applyAlignment="1" applyProtection="1">
      <alignment horizontal="center"/>
    </xf>
    <xf numFmtId="9" fontId="38" fillId="0" borderId="0" xfId="22" applyNumberFormat="1" applyFont="1"/>
    <xf numFmtId="172" fontId="38" fillId="0" borderId="0" xfId="22" applyNumberFormat="1" applyFont="1"/>
    <xf numFmtId="0" fontId="40" fillId="0" borderId="0" xfId="22" applyFont="1"/>
    <xf numFmtId="17" fontId="37" fillId="4" borderId="17" xfId="22" quotePrefix="1" applyNumberFormat="1" applyFont="1" applyFill="1" applyBorder="1" applyAlignment="1">
      <alignment horizontal="center"/>
    </xf>
    <xf numFmtId="9" fontId="39" fillId="3" borderId="0" xfId="17" applyFont="1" applyFill="1" applyBorder="1" applyAlignment="1" applyProtection="1">
      <alignment horizontal="center"/>
    </xf>
    <xf numFmtId="0" fontId="37" fillId="0" borderId="17" xfId="22" applyFont="1" applyBorder="1" applyAlignment="1">
      <alignment horizontal="left"/>
    </xf>
    <xf numFmtId="9" fontId="37" fillId="4" borderId="17" xfId="24" applyFont="1" applyFill="1" applyBorder="1" applyAlignment="1" applyProtection="1">
      <alignment horizontal="center"/>
    </xf>
    <xf numFmtId="0" fontId="36" fillId="0" borderId="0" xfId="22" applyFont="1" applyAlignment="1">
      <alignment vertical="center"/>
    </xf>
    <xf numFmtId="0" fontId="37" fillId="4" borderId="17" xfId="22" applyFont="1" applyFill="1" applyBorder="1" applyAlignment="1">
      <alignment horizontal="left" vertical="center"/>
    </xf>
    <xf numFmtId="17" fontId="37" fillId="4" borderId="17" xfId="22" quotePrefix="1" applyNumberFormat="1" applyFont="1" applyFill="1" applyBorder="1" applyAlignment="1">
      <alignment horizontal="center" vertical="center"/>
    </xf>
    <xf numFmtId="4" fontId="37" fillId="4" borderId="17" xfId="23" applyNumberFormat="1" applyFont="1" applyFill="1" applyBorder="1" applyAlignment="1" applyProtection="1">
      <alignment horizontal="center" vertical="center"/>
    </xf>
    <xf numFmtId="3" fontId="37" fillId="0" borderId="17" xfId="23" applyNumberFormat="1" applyFont="1" applyFill="1" applyBorder="1" applyAlignment="1" applyProtection="1">
      <alignment horizontal="center" vertical="center"/>
    </xf>
    <xf numFmtId="9" fontId="37" fillId="0" borderId="17" xfId="17" applyFont="1" applyFill="1" applyBorder="1" applyAlignment="1" applyProtection="1">
      <alignment horizontal="center" vertical="center"/>
    </xf>
    <xf numFmtId="9" fontId="37" fillId="0" borderId="17" xfId="24" applyFont="1" applyFill="1" applyBorder="1" applyAlignment="1" applyProtection="1">
      <alignment horizontal="center" vertical="center"/>
    </xf>
    <xf numFmtId="3" fontId="37" fillId="4" borderId="17" xfId="23" applyNumberFormat="1" applyFont="1" applyFill="1" applyBorder="1" applyAlignment="1" applyProtection="1">
      <alignment horizontal="center" vertical="center"/>
    </xf>
    <xf numFmtId="10" fontId="37" fillId="0" borderId="17" xfId="24" applyNumberFormat="1" applyFont="1" applyFill="1" applyBorder="1" applyAlignment="1" applyProtection="1">
      <alignment horizontal="center" vertical="center"/>
    </xf>
    <xf numFmtId="0" fontId="37" fillId="0" borderId="17" xfId="22" applyFont="1" applyBorder="1" applyAlignment="1">
      <alignment horizontal="center" vertical="center"/>
    </xf>
    <xf numFmtId="9" fontId="37" fillId="4" borderId="17" xfId="17" applyFont="1" applyFill="1" applyBorder="1" applyAlignment="1" applyProtection="1">
      <alignment horizontal="center" vertical="center"/>
    </xf>
    <xf numFmtId="9" fontId="37" fillId="4" borderId="17" xfId="24" applyFont="1" applyFill="1" applyBorder="1" applyAlignment="1" applyProtection="1">
      <alignment horizontal="center" vertical="center"/>
    </xf>
    <xf numFmtId="9" fontId="39" fillId="3" borderId="0" xfId="17" applyFont="1" applyFill="1" applyBorder="1" applyAlignment="1" applyProtection="1">
      <alignment horizontal="center" vertical="center"/>
    </xf>
    <xf numFmtId="3" fontId="39" fillId="5" borderId="18" xfId="23" applyNumberFormat="1" applyFont="1" applyFill="1" applyBorder="1" applyAlignment="1" applyProtection="1">
      <alignment horizontal="center" vertical="center" wrapText="1"/>
    </xf>
    <xf numFmtId="3" fontId="39" fillId="5" borderId="18" xfId="23" applyNumberFormat="1" applyFont="1" applyFill="1" applyBorder="1" applyAlignment="1" applyProtection="1">
      <alignment horizontal="center" vertical="center"/>
    </xf>
    <xf numFmtId="9" fontId="38" fillId="0" borderId="0" xfId="22" applyNumberFormat="1" applyFont="1" applyAlignment="1">
      <alignment vertical="center"/>
    </xf>
    <xf numFmtId="0" fontId="38" fillId="0" borderId="0" xfId="22" applyFont="1" applyAlignment="1">
      <alignment vertical="center"/>
    </xf>
    <xf numFmtId="172" fontId="38" fillId="0" borderId="0" xfId="22" applyNumberFormat="1" applyFont="1" applyAlignment="1">
      <alignment vertical="center"/>
    </xf>
    <xf numFmtId="0" fontId="40" fillId="0" borderId="0" xfId="22" applyFont="1" applyAlignment="1">
      <alignment vertical="center"/>
    </xf>
    <xf numFmtId="10" fontId="37" fillId="4" borderId="17" xfId="24" applyNumberFormat="1" applyFont="1" applyFill="1" applyBorder="1" applyAlignment="1" applyProtection="1">
      <alignment horizontal="center" vertical="center"/>
    </xf>
    <xf numFmtId="0" fontId="37" fillId="4" borderId="17" xfId="22" applyFont="1" applyFill="1" applyBorder="1" applyAlignment="1">
      <alignment horizontal="center" vertical="center"/>
    </xf>
    <xf numFmtId="0" fontId="39" fillId="3" borderId="0" xfId="22" applyFont="1" applyFill="1" applyAlignment="1">
      <alignment horizontal="center" vertical="center"/>
    </xf>
    <xf numFmtId="0" fontId="37" fillId="4" borderId="0" xfId="22" applyFont="1" applyFill="1" applyAlignment="1">
      <alignment horizontal="left" vertical="center"/>
    </xf>
    <xf numFmtId="0" fontId="41" fillId="0" borderId="0" xfId="19" applyFont="1" applyAlignment="1">
      <alignment horizontal="left" vertical="center"/>
    </xf>
    <xf numFmtId="17" fontId="37" fillId="4" borderId="0" xfId="22" quotePrefix="1" applyNumberFormat="1" applyFont="1" applyFill="1" applyAlignment="1">
      <alignment horizontal="center" vertical="center"/>
    </xf>
    <xf numFmtId="4" fontId="37" fillId="4" borderId="0" xfId="23" applyNumberFormat="1" applyFont="1" applyFill="1" applyBorder="1" applyAlignment="1" applyProtection="1">
      <alignment horizontal="center" vertical="center"/>
    </xf>
    <xf numFmtId="3" fontId="37" fillId="0" borderId="0" xfId="23" applyNumberFormat="1" applyFont="1" applyFill="1" applyBorder="1" applyAlignment="1" applyProtection="1">
      <alignment horizontal="center" vertical="center"/>
    </xf>
    <xf numFmtId="9" fontId="37" fillId="0" borderId="0" xfId="17" applyFont="1" applyFill="1" applyBorder="1" applyAlignment="1" applyProtection="1">
      <alignment horizontal="center" vertical="center"/>
    </xf>
    <xf numFmtId="9" fontId="37" fillId="0" borderId="0" xfId="24" applyFont="1" applyFill="1" applyBorder="1" applyAlignment="1" applyProtection="1">
      <alignment horizontal="center" vertical="center"/>
    </xf>
    <xf numFmtId="3" fontId="37" fillId="4" borderId="0" xfId="23" applyNumberFormat="1" applyFont="1" applyFill="1" applyBorder="1" applyAlignment="1" applyProtection="1">
      <alignment horizontal="center" vertical="center"/>
    </xf>
    <xf numFmtId="9" fontId="37" fillId="4" borderId="0" xfId="24" applyFont="1" applyFill="1" applyBorder="1" applyAlignment="1" applyProtection="1">
      <alignment horizontal="center" vertical="center"/>
    </xf>
    <xf numFmtId="10" fontId="37" fillId="4" borderId="0" xfId="24" applyNumberFormat="1" applyFont="1" applyFill="1" applyBorder="1" applyAlignment="1" applyProtection="1">
      <alignment horizontal="center" vertical="center"/>
    </xf>
    <xf numFmtId="0" fontId="37" fillId="4" borderId="0" xfId="22" applyFont="1" applyFill="1" applyAlignment="1">
      <alignment horizontal="center" vertical="center"/>
    </xf>
    <xf numFmtId="0" fontId="42" fillId="0" borderId="0" xfId="22" applyFont="1" applyAlignment="1">
      <alignment vertical="center"/>
    </xf>
    <xf numFmtId="9" fontId="43" fillId="0" borderId="0" xfId="22" applyNumberFormat="1" applyFont="1" applyAlignment="1">
      <alignment horizontal="center" vertical="center" wrapText="1"/>
    </xf>
    <xf numFmtId="9" fontId="39" fillId="3" borderId="0" xfId="24" applyFont="1" applyFill="1" applyBorder="1" applyAlignment="1" applyProtection="1">
      <alignment horizontal="center" vertical="center"/>
    </xf>
    <xf numFmtId="0" fontId="37" fillId="0" borderId="0" xfId="22" applyFont="1" applyAlignment="1">
      <alignment vertical="center"/>
    </xf>
    <xf numFmtId="9" fontId="39" fillId="3" borderId="0" xfId="22" applyNumberFormat="1" applyFont="1" applyFill="1" applyAlignment="1">
      <alignment horizontal="center" vertical="center"/>
    </xf>
    <xf numFmtId="0" fontId="31" fillId="0" borderId="0" xfId="22" applyFont="1" applyAlignment="1">
      <alignment horizontal="right" vertical="center"/>
    </xf>
    <xf numFmtId="0" fontId="43" fillId="0" borderId="0" xfId="22" applyFont="1" applyAlignment="1">
      <alignment horizontal="center" vertical="center" wrapText="1"/>
    </xf>
    <xf numFmtId="0" fontId="44" fillId="0" borderId="0" xfId="19" applyFont="1" applyAlignment="1">
      <alignment horizontal="left" vertical="center"/>
    </xf>
    <xf numFmtId="3" fontId="2" fillId="0" borderId="0" xfId="22" applyNumberFormat="1" applyAlignment="1">
      <alignment vertical="center"/>
    </xf>
    <xf numFmtId="174" fontId="44" fillId="0" borderId="0" xfId="20" applyNumberFormat="1" applyFont="1" applyAlignment="1">
      <alignment vertical="center"/>
    </xf>
    <xf numFmtId="0" fontId="45" fillId="3" borderId="16" xfId="22" applyFont="1" applyFill="1" applyBorder="1" applyAlignment="1">
      <alignment horizontal="left" vertical="center"/>
    </xf>
    <xf numFmtId="0" fontId="45" fillId="3" borderId="16" xfId="22" applyFont="1" applyFill="1" applyBorder="1" applyAlignment="1">
      <alignment horizontal="center" vertical="center" wrapText="1"/>
    </xf>
    <xf numFmtId="0" fontId="40" fillId="0" borderId="0" xfId="22" applyFont="1" applyAlignment="1">
      <alignment horizontal="center" vertical="center"/>
    </xf>
    <xf numFmtId="0" fontId="46" fillId="3" borderId="18" xfId="22" applyFont="1" applyFill="1" applyBorder="1" applyAlignment="1">
      <alignment horizontal="left" vertical="center"/>
    </xf>
    <xf numFmtId="3" fontId="46" fillId="3" borderId="18" xfId="23" applyNumberFormat="1" applyFont="1" applyFill="1" applyBorder="1" applyAlignment="1" applyProtection="1">
      <alignment horizontal="center" vertical="center"/>
    </xf>
    <xf numFmtId="0" fontId="46" fillId="3" borderId="18" xfId="22" applyFont="1" applyFill="1" applyBorder="1" applyAlignment="1">
      <alignment horizontal="center" vertical="center"/>
    </xf>
    <xf numFmtId="172" fontId="40" fillId="0" borderId="0" xfId="21" applyFont="1" applyAlignment="1">
      <alignment vertical="center"/>
    </xf>
    <xf numFmtId="0" fontId="47" fillId="3" borderId="16" xfId="22" applyFont="1" applyFill="1" applyBorder="1" applyAlignment="1">
      <alignment horizontal="left" vertical="center"/>
    </xf>
    <xf numFmtId="9" fontId="46" fillId="3" borderId="18" xfId="24" applyFont="1" applyFill="1" applyBorder="1" applyAlignment="1" applyProtection="1">
      <alignment horizontal="center" vertical="center"/>
    </xf>
    <xf numFmtId="167" fontId="46" fillId="3" borderId="18" xfId="3" applyNumberFormat="1" applyFont="1" applyFill="1" applyBorder="1" applyAlignment="1" applyProtection="1">
      <alignment horizontal="center" vertical="center"/>
    </xf>
    <xf numFmtId="0" fontId="48" fillId="3" borderId="0" xfId="22" applyFont="1" applyFill="1" applyAlignment="1">
      <alignment horizontal="left" vertical="center"/>
    </xf>
    <xf numFmtId="3" fontId="48" fillId="3" borderId="0" xfId="23" applyNumberFormat="1" applyFont="1" applyFill="1" applyBorder="1" applyAlignment="1" applyProtection="1">
      <alignment horizontal="center" vertical="center"/>
    </xf>
    <xf numFmtId="0" fontId="48" fillId="3" borderId="0" xfId="22" applyFont="1" applyFill="1" applyAlignment="1">
      <alignment horizontal="center" vertical="center"/>
    </xf>
    <xf numFmtId="0" fontId="48" fillId="0" borderId="0" xfId="22" applyFont="1" applyAlignment="1">
      <alignment horizontal="left" vertical="center"/>
    </xf>
    <xf numFmtId="3" fontId="48" fillId="0" borderId="0" xfId="23" applyNumberFormat="1" applyFont="1" applyFill="1" applyBorder="1" applyAlignment="1" applyProtection="1">
      <alignment horizontal="center" vertical="center"/>
    </xf>
    <xf numFmtId="0" fontId="48" fillId="0" borderId="0" xfId="22" applyFont="1" applyAlignment="1">
      <alignment horizontal="center" vertical="center"/>
    </xf>
    <xf numFmtId="0" fontId="48" fillId="3" borderId="18" xfId="22" applyFont="1" applyFill="1" applyBorder="1" applyAlignment="1">
      <alignment horizontal="left" vertical="center"/>
    </xf>
    <xf numFmtId="3" fontId="48" fillId="3" borderId="18" xfId="22" applyNumberFormat="1" applyFont="1" applyFill="1" applyBorder="1" applyAlignment="1">
      <alignment horizontal="right" vertical="center"/>
    </xf>
    <xf numFmtId="3" fontId="48" fillId="3" borderId="18" xfId="23" applyNumberFormat="1" applyFont="1" applyFill="1" applyBorder="1" applyAlignment="1" applyProtection="1">
      <alignment horizontal="right" vertical="center"/>
    </xf>
    <xf numFmtId="175" fontId="48" fillId="3" borderId="18" xfId="23" applyNumberFormat="1" applyFont="1" applyFill="1" applyBorder="1" applyAlignment="1" applyProtection="1">
      <alignment horizontal="right" vertical="center"/>
    </xf>
    <xf numFmtId="176" fontId="48" fillId="3" borderId="18" xfId="23" applyNumberFormat="1" applyFont="1" applyFill="1" applyBorder="1" applyAlignment="1" applyProtection="1">
      <alignment horizontal="right" vertical="center"/>
    </xf>
    <xf numFmtId="0" fontId="8" fillId="0" borderId="0" xfId="19" applyFont="1" applyAlignment="1">
      <alignment vertical="center"/>
    </xf>
    <xf numFmtId="9" fontId="2" fillId="0" borderId="0" xfId="22" applyNumberFormat="1" applyAlignment="1">
      <alignment vertical="center"/>
    </xf>
    <xf numFmtId="9" fontId="37" fillId="4" borderId="0" xfId="17" applyFont="1" applyFill="1" applyBorder="1" applyAlignment="1" applyProtection="1">
      <alignment horizontal="center" vertical="center"/>
    </xf>
    <xf numFmtId="0" fontId="49" fillId="0" borderId="0" xfId="22" applyFont="1" applyAlignment="1">
      <alignment vertical="center"/>
    </xf>
    <xf numFmtId="0" fontId="50" fillId="0" borderId="0" xfId="19" applyFont="1" applyAlignment="1">
      <alignment vertical="center"/>
    </xf>
    <xf numFmtId="3" fontId="51" fillId="3" borderId="18" xfId="22" applyNumberFormat="1" applyFont="1" applyFill="1" applyBorder="1" applyAlignment="1">
      <alignment horizontal="right" vertical="center"/>
    </xf>
    <xf numFmtId="0" fontId="52" fillId="3" borderId="19" xfId="22" applyFont="1" applyFill="1" applyBorder="1" applyAlignment="1">
      <alignment vertical="center" wrapText="1"/>
    </xf>
    <xf numFmtId="0" fontId="45" fillId="3" borderId="19" xfId="22" applyFont="1" applyFill="1" applyBorder="1" applyAlignment="1">
      <alignment horizontal="center" vertical="center" wrapText="1"/>
    </xf>
    <xf numFmtId="4" fontId="48" fillId="3" borderId="18" xfId="23" applyNumberFormat="1" applyFont="1" applyFill="1" applyBorder="1" applyAlignment="1" applyProtection="1">
      <alignment horizontal="right" vertical="center"/>
    </xf>
    <xf numFmtId="3" fontId="48" fillId="3" borderId="18" xfId="23" applyNumberFormat="1" applyFont="1" applyFill="1" applyBorder="1" applyAlignment="1" applyProtection="1">
      <alignment horizontal="center" vertical="center"/>
    </xf>
    <xf numFmtId="2" fontId="44" fillId="0" borderId="0" xfId="20" applyNumberFormat="1" applyFont="1" applyAlignment="1">
      <alignment horizontal="right" vertical="center"/>
    </xf>
    <xf numFmtId="10" fontId="2" fillId="0" borderId="0" xfId="17" applyNumberFormat="1" applyFont="1" applyAlignment="1">
      <alignment vertical="center"/>
    </xf>
    <xf numFmtId="0" fontId="49" fillId="3" borderId="0" xfId="22" applyFont="1" applyFill="1" applyAlignment="1">
      <alignment horizontal="justify" vertical="center" wrapText="1"/>
    </xf>
    <xf numFmtId="177" fontId="7" fillId="0" borderId="0" xfId="19" applyNumberFormat="1"/>
    <xf numFmtId="0" fontId="29" fillId="0" borderId="20" xfId="19" applyFont="1" applyBorder="1"/>
    <xf numFmtId="0" fontId="29" fillId="0" borderId="21" xfId="19" applyFont="1" applyBorder="1"/>
    <xf numFmtId="0" fontId="29" fillId="0" borderId="22" xfId="19" applyFont="1" applyBorder="1"/>
    <xf numFmtId="0" fontId="29" fillId="0" borderId="23" xfId="19" applyFont="1" applyBorder="1"/>
    <xf numFmtId="177" fontId="29" fillId="0" borderId="21" xfId="19" applyNumberFormat="1" applyFont="1" applyBorder="1"/>
    <xf numFmtId="177" fontId="29" fillId="0" borderId="22" xfId="19" applyNumberFormat="1" applyFont="1" applyBorder="1"/>
    <xf numFmtId="0" fontId="7" fillId="0" borderId="24" xfId="19" applyBorder="1"/>
    <xf numFmtId="165" fontId="0" fillId="0" borderId="25" xfId="1" applyFont="1" applyBorder="1"/>
    <xf numFmtId="168" fontId="0" fillId="0" borderId="0" xfId="1" applyNumberFormat="1" applyFont="1" applyBorder="1"/>
    <xf numFmtId="10" fontId="0" fillId="0" borderId="26" xfId="3" applyNumberFormat="1" applyFont="1" applyBorder="1"/>
    <xf numFmtId="168" fontId="0" fillId="0" borderId="25" xfId="1" applyNumberFormat="1" applyFont="1" applyBorder="1"/>
    <xf numFmtId="168" fontId="0" fillId="0" borderId="26" xfId="1" applyNumberFormat="1" applyFont="1" applyBorder="1"/>
    <xf numFmtId="0" fontId="29" fillId="0" borderId="27" xfId="19" applyFont="1" applyBorder="1"/>
    <xf numFmtId="165" fontId="29" fillId="0" borderId="28" xfId="1" applyFont="1" applyBorder="1"/>
    <xf numFmtId="168" fontId="29" fillId="0" borderId="29" xfId="1" applyNumberFormat="1" applyFont="1" applyBorder="1"/>
    <xf numFmtId="10" fontId="29" fillId="0" borderId="30" xfId="3" applyNumberFormat="1" applyFont="1" applyBorder="1"/>
    <xf numFmtId="168" fontId="29" fillId="0" borderId="28" xfId="1" applyNumberFormat="1" applyFont="1" applyBorder="1"/>
    <xf numFmtId="168" fontId="29" fillId="0" borderId="30" xfId="1" applyNumberFormat="1" applyFont="1" applyBorder="1"/>
    <xf numFmtId="165" fontId="0" fillId="0" borderId="0" xfId="1" applyFont="1" applyBorder="1"/>
    <xf numFmtId="165" fontId="0" fillId="0" borderId="26" xfId="1" applyFont="1" applyBorder="1"/>
    <xf numFmtId="165" fontId="29" fillId="0" borderId="29" xfId="1" applyFont="1" applyBorder="1"/>
    <xf numFmtId="165" fontId="29" fillId="0" borderId="30" xfId="1" applyFont="1" applyBorder="1"/>
    <xf numFmtId="0" fontId="16" fillId="0" borderId="12" xfId="2" applyFont="1" applyFill="1" applyBorder="1" applyAlignment="1">
      <alignment horizontal="right"/>
    </xf>
    <xf numFmtId="0" fontId="16" fillId="0" borderId="13" xfId="2" applyFont="1" applyFill="1" applyBorder="1" applyAlignment="1">
      <alignment horizontal="right"/>
    </xf>
    <xf numFmtId="0" fontId="19" fillId="0" borderId="12" xfId="2" applyFont="1" applyFill="1" applyBorder="1" applyAlignment="1">
      <alignment horizontal="right"/>
    </xf>
    <xf numFmtId="0" fontId="19" fillId="0" borderId="1" xfId="2" applyFont="1" applyFill="1" applyBorder="1" applyAlignment="1">
      <alignment horizontal="right"/>
    </xf>
    <xf numFmtId="0" fontId="16" fillId="0" borderId="1" xfId="2" applyFont="1" applyFill="1" applyBorder="1" applyAlignment="1">
      <alignment horizontal="right"/>
    </xf>
    <xf numFmtId="0" fontId="45" fillId="3" borderId="0" xfId="22" applyFont="1" applyFill="1" applyAlignment="1">
      <alignment horizontal="center" vertical="center" wrapText="1"/>
    </xf>
    <xf numFmtId="0" fontId="45" fillId="3" borderId="19" xfId="22" applyFont="1" applyFill="1" applyBorder="1" applyAlignment="1">
      <alignment horizontal="center" vertical="center" wrapText="1"/>
    </xf>
    <xf numFmtId="0" fontId="45" fillId="3" borderId="0" xfId="22" applyFont="1" applyFill="1" applyAlignment="1">
      <alignment horizontal="left" vertical="center" wrapText="1"/>
    </xf>
    <xf numFmtId="0" fontId="45" fillId="3" borderId="19" xfId="22" applyFont="1" applyFill="1" applyBorder="1" applyAlignment="1">
      <alignment horizontal="left" vertical="center" wrapText="1"/>
    </xf>
    <xf numFmtId="0" fontId="1" fillId="0" borderId="0" xfId="22" applyFont="1" applyAlignment="1">
      <alignment vertical="center"/>
    </xf>
  </cellXfs>
  <cellStyles count="25">
    <cellStyle name="Comma" xfId="1" builtinId="3"/>
    <cellStyle name="Comma 4" xfId="14" xr:uid="{00000000-0005-0000-0000-000000000000}"/>
    <cellStyle name="Millares 2" xfId="6" xr:uid="{00000000-0005-0000-0000-000002000000}"/>
    <cellStyle name="Millares 2 2 11" xfId="21" xr:uid="{00000000-0005-0000-0000-000003000000}"/>
    <cellStyle name="Millares 3" xfId="7" xr:uid="{00000000-0005-0000-0000-000004000000}"/>
    <cellStyle name="Millares 4" xfId="12" xr:uid="{00000000-0005-0000-0000-000005000000}"/>
    <cellStyle name="Millares 4 2" xfId="16" xr:uid="{00000000-0005-0000-0000-000006000000}"/>
    <cellStyle name="Millares 4 2 2" xfId="23" xr:uid="{323D4A95-66C1-4BC8-BFD1-0B35E3176A56}"/>
    <cellStyle name="Moneda 2" xfId="9" xr:uid="{00000000-0005-0000-0000-000007000000}"/>
    <cellStyle name="Normal" xfId="0" builtinId="0"/>
    <cellStyle name="Normal 10" xfId="19" xr:uid="{00000000-0005-0000-0000-000009000000}"/>
    <cellStyle name="Normal 2" xfId="2" xr:uid="{00000000-0005-0000-0000-00000A000000}"/>
    <cellStyle name="Normal 2 2" xfId="20" xr:uid="{00000000-0005-0000-0000-00000B000000}"/>
    <cellStyle name="Normal 3" xfId="5" xr:uid="{00000000-0005-0000-0000-00000C000000}"/>
    <cellStyle name="Normal 4" xfId="4" xr:uid="{00000000-0005-0000-0000-00000D000000}"/>
    <cellStyle name="Normal 5" xfId="11" xr:uid="{00000000-0005-0000-0000-00000E000000}"/>
    <cellStyle name="Normal 5 2" xfId="15" xr:uid="{00000000-0005-0000-0000-00000F000000}"/>
    <cellStyle name="Normal 5 2 2" xfId="22" xr:uid="{A983EA99-6D5A-4B80-903F-9D189D7445D5}"/>
    <cellStyle name="Percent" xfId="3" builtinId="5"/>
    <cellStyle name="Porcentaje 11" xfId="17" xr:uid="{00000000-0005-0000-0000-000011000000}"/>
    <cellStyle name="Porcentaje 2" xfId="8" xr:uid="{00000000-0005-0000-0000-000012000000}"/>
    <cellStyle name="Porcentaje 3" xfId="10" xr:uid="{00000000-0005-0000-0000-000013000000}"/>
    <cellStyle name="Porcentaje 4" xfId="13" xr:uid="{00000000-0005-0000-0000-000014000000}"/>
    <cellStyle name="Porcentual 2" xfId="18" xr:uid="{00000000-0005-0000-0000-000015000000}"/>
    <cellStyle name="Porcentual 2 2" xfId="24" xr:uid="{390EB300-0A52-4DF3-998B-F48806C5746A}"/>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74</xdr:row>
      <xdr:rowOff>0</xdr:rowOff>
    </xdr:from>
    <xdr:to>
      <xdr:col>13</xdr:col>
      <xdr:colOff>304800</xdr:colOff>
      <xdr:row>75</xdr:row>
      <xdr:rowOff>76069</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F258F152-2E00-48F0-9520-DF9694D74B47}"/>
            </a:ext>
          </a:extLst>
        </xdr:cNvPr>
        <xdr:cNvSpPr>
          <a:spLocks noChangeAspect="1" noChangeArrowheads="1"/>
        </xdr:cNvSpPr>
      </xdr:nvSpPr>
      <xdr:spPr bwMode="auto">
        <a:xfrm>
          <a:off x="5857875" y="12115800"/>
          <a:ext cx="304800" cy="3046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P169"/>
  <sheetViews>
    <sheetView showGridLines="0" zoomScale="115" zoomScaleNormal="115" workbookViewId="0">
      <pane xSplit="1" ySplit="3" topLeftCell="B155" activePane="bottomRight" state="frozen"/>
      <selection pane="topRight" activeCell="B1" sqref="B1"/>
      <selection pane="bottomLeft" activeCell="A4" sqref="A4"/>
      <selection pane="bottomRight" activeCell="F166" sqref="F166"/>
    </sheetView>
  </sheetViews>
  <sheetFormatPr defaultColWidth="11.453125" defaultRowHeight="14" x14ac:dyDescent="0.3"/>
  <cols>
    <col min="1" max="1" width="39.90625" style="1" customWidth="1"/>
    <col min="2" max="6" width="18" style="1" customWidth="1"/>
    <col min="7" max="7" width="16.36328125" style="48" customWidth="1"/>
    <col min="8" max="8" width="15.36328125" style="3" bestFit="1" customWidth="1"/>
    <col min="9" max="9" width="17.54296875" style="3" bestFit="1" customWidth="1"/>
    <col min="10" max="10" width="14.36328125" style="3" customWidth="1"/>
    <col min="11" max="11" width="11.453125" style="3"/>
    <col min="12" max="12" width="12.453125" style="3" bestFit="1" customWidth="1"/>
    <col min="13" max="16384" width="11.453125" style="3"/>
  </cols>
  <sheetData>
    <row r="1" spans="1:9" ht="15.5" x14ac:dyDescent="0.35">
      <c r="A1" s="27" t="s">
        <v>87</v>
      </c>
    </row>
    <row r="3" spans="1:9" ht="28" x14ac:dyDescent="0.3">
      <c r="A3" s="73" t="s">
        <v>86</v>
      </c>
      <c r="B3" s="2" t="s">
        <v>69</v>
      </c>
      <c r="C3" s="2" t="s">
        <v>73</v>
      </c>
      <c r="D3" s="2" t="s">
        <v>74</v>
      </c>
      <c r="E3" s="2" t="s">
        <v>0</v>
      </c>
      <c r="F3" s="2" t="s">
        <v>1</v>
      </c>
      <c r="G3" s="82" t="s">
        <v>25</v>
      </c>
    </row>
    <row r="4" spans="1:9" x14ac:dyDescent="0.3">
      <c r="A4" s="3"/>
      <c r="B4" s="3"/>
      <c r="G4" s="36"/>
    </row>
    <row r="5" spans="1:9" x14ac:dyDescent="0.3">
      <c r="A5" s="25" t="s">
        <v>2</v>
      </c>
      <c r="B5" s="7"/>
      <c r="C5" s="7"/>
      <c r="D5" s="7"/>
      <c r="E5" s="7"/>
      <c r="F5" s="7"/>
      <c r="G5" s="20"/>
    </row>
    <row r="6" spans="1:9" x14ac:dyDescent="0.3">
      <c r="A6" s="50"/>
      <c r="B6" s="8"/>
      <c r="C6" s="8"/>
      <c r="D6" s="8"/>
      <c r="E6" s="8"/>
      <c r="F6" s="8"/>
      <c r="G6" s="18"/>
    </row>
    <row r="7" spans="1:9" x14ac:dyDescent="0.3">
      <c r="A7" s="50" t="s">
        <v>9</v>
      </c>
      <c r="B7" s="28">
        <f>+B8+B9</f>
        <v>3881809.77</v>
      </c>
      <c r="C7" s="28">
        <f>+C8+C9</f>
        <v>3882001.17</v>
      </c>
      <c r="D7" s="28">
        <f>+D8+D9</f>
        <v>7554828.6399999997</v>
      </c>
      <c r="E7" s="28">
        <f>+E8+E9</f>
        <v>7444553.2799999993</v>
      </c>
      <c r="F7" s="28">
        <f>+F8+F9</f>
        <v>12078834.65</v>
      </c>
      <c r="G7" s="18">
        <f>F7/$F$37</f>
        <v>0.4934778135384339</v>
      </c>
    </row>
    <row r="8" spans="1:9" s="21" customFormat="1" ht="13" x14ac:dyDescent="0.3">
      <c r="A8" s="72" t="s">
        <v>21</v>
      </c>
      <c r="B8" s="112">
        <v>3881809.77</v>
      </c>
      <c r="C8" s="112">
        <v>3882001.17</v>
      </c>
      <c r="D8" s="112">
        <v>5954828.6399999997</v>
      </c>
      <c r="E8" s="112">
        <v>5839818.5899999999</v>
      </c>
      <c r="F8" s="112">
        <v>10469193.17</v>
      </c>
      <c r="G8" s="113">
        <f>+F8/$F$37</f>
        <v>0.42771630747036554</v>
      </c>
      <c r="H8" s="150"/>
    </row>
    <row r="9" spans="1:9" s="21" customFormat="1" x14ac:dyDescent="0.3">
      <c r="A9" s="72" t="s">
        <v>105</v>
      </c>
      <c r="B9" s="112">
        <v>0</v>
      </c>
      <c r="C9" s="112">
        <v>0</v>
      </c>
      <c r="D9" s="112">
        <v>1600000</v>
      </c>
      <c r="E9" s="112">
        <f>1628058.31-23323.62</f>
        <v>1604734.69</v>
      </c>
      <c r="F9" s="112">
        <f>1632965.1-23323.62</f>
        <v>1609641.48</v>
      </c>
      <c r="G9" s="113">
        <f>+F9/$F$37</f>
        <v>6.5761506068068312E-2</v>
      </c>
      <c r="H9" s="148"/>
      <c r="I9" s="76"/>
    </row>
    <row r="10" spans="1:9" x14ac:dyDescent="0.3">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 x14ac:dyDescent="0.3">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 x14ac:dyDescent="0.3">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 x14ac:dyDescent="0.3">
      <c r="A13" s="72" t="s">
        <v>26</v>
      </c>
      <c r="B13" s="112">
        <v>0</v>
      </c>
      <c r="C13" s="112">
        <v>0</v>
      </c>
      <c r="D13" s="112">
        <v>3000000</v>
      </c>
      <c r="E13" s="112">
        <v>3000000</v>
      </c>
      <c r="F13" s="112">
        <v>3000000</v>
      </c>
      <c r="G13" s="113">
        <f>+F13/F37</f>
        <v>0.12256426083416098</v>
      </c>
      <c r="H13" s="148"/>
    </row>
    <row r="14" spans="1:9" s="38" customFormat="1" ht="13" x14ac:dyDescent="0.3">
      <c r="A14" s="72" t="s">
        <v>18</v>
      </c>
      <c r="B14" s="112">
        <v>0</v>
      </c>
      <c r="C14" s="112">
        <v>0</v>
      </c>
      <c r="D14" s="172">
        <v>4166.67</v>
      </c>
      <c r="E14" s="172">
        <v>29166.67</v>
      </c>
      <c r="F14" s="172">
        <v>55000</v>
      </c>
      <c r="G14" s="113">
        <f>+F14/F37</f>
        <v>2.2470114486262847E-3</v>
      </c>
      <c r="I14" s="44"/>
    </row>
    <row r="15" spans="1:9" s="38" customFormat="1" ht="13" x14ac:dyDescent="0.3">
      <c r="A15" s="72" t="s">
        <v>101</v>
      </c>
      <c r="B15" s="112">
        <v>0</v>
      </c>
      <c r="C15" s="112">
        <v>0</v>
      </c>
      <c r="D15" s="112">
        <v>-29895.83</v>
      </c>
      <c r="E15" s="112">
        <v>-29270.83</v>
      </c>
      <c r="F15" s="112">
        <v>-28625</v>
      </c>
      <c r="G15" s="113">
        <f>+F15/F37</f>
        <v>-1.1694673221259526E-3</v>
      </c>
      <c r="I15" s="46"/>
    </row>
    <row r="16" spans="1:9" s="38" customFormat="1" ht="13" x14ac:dyDescent="0.3">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 x14ac:dyDescent="0.3">
      <c r="A17" s="72" t="s">
        <v>26</v>
      </c>
      <c r="B17" s="112">
        <v>0</v>
      </c>
      <c r="C17" s="112">
        <v>0</v>
      </c>
      <c r="D17" s="112">
        <v>1200000</v>
      </c>
      <c r="E17" s="112">
        <v>1200000</v>
      </c>
      <c r="F17" s="112">
        <v>1200000</v>
      </c>
      <c r="G17" s="113">
        <f t="shared" si="5"/>
        <v>4.9025704333664391E-2</v>
      </c>
      <c r="I17" s="148"/>
    </row>
    <row r="18" spans="1:9" s="38" customFormat="1" ht="13" x14ac:dyDescent="0.3">
      <c r="A18" s="72" t="s">
        <v>18</v>
      </c>
      <c r="B18" s="112">
        <v>0</v>
      </c>
      <c r="C18" s="112">
        <v>0</v>
      </c>
      <c r="D18" s="172">
        <v>333.33</v>
      </c>
      <c r="E18" s="172">
        <v>10333.33</v>
      </c>
      <c r="F18" s="172">
        <v>20666.66</v>
      </c>
      <c r="G18" s="142">
        <f t="shared" si="5"/>
        <v>8.4433130227030712E-4</v>
      </c>
    </row>
    <row r="19" spans="1:9" s="38" customFormat="1" ht="13" x14ac:dyDescent="0.3">
      <c r="A19" s="72" t="s">
        <v>101</v>
      </c>
      <c r="B19" s="112">
        <v>0</v>
      </c>
      <c r="C19" s="112">
        <v>0</v>
      </c>
      <c r="D19" s="112">
        <v>-11991.67</v>
      </c>
      <c r="E19" s="112">
        <v>-11741.67</v>
      </c>
      <c r="F19" s="112">
        <v>-11483.34</v>
      </c>
      <c r="G19" s="142">
        <f t="shared" si="5"/>
        <v>-4.6914902633578477E-4</v>
      </c>
    </row>
    <row r="20" spans="1:9" s="38" customFormat="1" ht="13" x14ac:dyDescent="0.3">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 x14ac:dyDescent="0.3">
      <c r="A21" s="72" t="s">
        <v>26</v>
      </c>
      <c r="B21" s="112">
        <v>0</v>
      </c>
      <c r="C21" s="112">
        <v>0</v>
      </c>
      <c r="D21" s="112">
        <v>0</v>
      </c>
      <c r="E21" s="112">
        <v>0</v>
      </c>
      <c r="F21" s="112">
        <v>750000</v>
      </c>
      <c r="G21" s="113">
        <f t="shared" si="5"/>
        <v>3.0641065208540246E-2</v>
      </c>
    </row>
    <row r="22" spans="1:9" s="38" customFormat="1" ht="13" x14ac:dyDescent="0.3">
      <c r="A22" s="72" t="s">
        <v>18</v>
      </c>
      <c r="B22" s="112">
        <v>0</v>
      </c>
      <c r="C22" s="112">
        <v>0</v>
      </c>
      <c r="D22" s="112">
        <v>0</v>
      </c>
      <c r="E22" s="112">
        <v>0</v>
      </c>
      <c r="F22" s="172">
        <v>4125</v>
      </c>
      <c r="G22" s="142">
        <f t="shared" si="5"/>
        <v>1.6852585864697136E-4</v>
      </c>
    </row>
    <row r="23" spans="1:9" s="38" customFormat="1" ht="13" x14ac:dyDescent="0.3">
      <c r="A23" s="72" t="s">
        <v>101</v>
      </c>
      <c r="B23" s="112">
        <v>0</v>
      </c>
      <c r="C23" s="112">
        <v>0</v>
      </c>
      <c r="D23" s="112">
        <v>0</v>
      </c>
      <c r="E23" s="112">
        <v>0</v>
      </c>
      <c r="F23" s="112">
        <v>-5879.45</v>
      </c>
      <c r="G23" s="142">
        <f t="shared" si="5"/>
        <v>-2.4020348112046926E-4</v>
      </c>
    </row>
    <row r="24" spans="1:9" s="38" customFormat="1" ht="13" x14ac:dyDescent="0.3">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 x14ac:dyDescent="0.3">
      <c r="A25" s="72" t="s">
        <v>26</v>
      </c>
      <c r="B25" s="112">
        <v>0</v>
      </c>
      <c r="C25" s="112">
        <v>0</v>
      </c>
      <c r="D25" s="112">
        <v>0</v>
      </c>
      <c r="E25" s="112">
        <v>0</v>
      </c>
      <c r="F25" s="172">
        <f>5000000-8055.35</f>
        <v>4991944.6500000004</v>
      </c>
      <c r="G25" s="113">
        <f t="shared" si="5"/>
        <v>0.2039446687174315</v>
      </c>
    </row>
    <row r="26" spans="1:9" s="38" customFormat="1" ht="13" x14ac:dyDescent="0.3">
      <c r="A26" s="72" t="s">
        <v>18</v>
      </c>
      <c r="B26" s="112">
        <v>0</v>
      </c>
      <c r="C26" s="112">
        <v>0</v>
      </c>
      <c r="D26" s="112">
        <v>0</v>
      </c>
      <c r="E26" s="112">
        <v>0</v>
      </c>
      <c r="F26" s="172">
        <v>7543.38</v>
      </c>
      <c r="G26" s="142">
        <f t="shared" si="5"/>
        <v>3.0818293129706442E-4</v>
      </c>
    </row>
    <row r="27" spans="1:9" s="38" customFormat="1" ht="13" x14ac:dyDescent="0.3">
      <c r="A27" s="72" t="s">
        <v>101</v>
      </c>
      <c r="B27" s="112">
        <v>0</v>
      </c>
      <c r="C27" s="112">
        <v>0</v>
      </c>
      <c r="D27" s="112">
        <v>0</v>
      </c>
      <c r="E27" s="112">
        <v>0</v>
      </c>
      <c r="F27" s="112">
        <v>-49629.63</v>
      </c>
      <c r="G27" s="142">
        <f t="shared" si="5"/>
        <v>-2.0276063054743003E-3</v>
      </c>
    </row>
    <row r="28" spans="1:9" s="38" customFormat="1" ht="13" x14ac:dyDescent="0.3">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 x14ac:dyDescent="0.3">
      <c r="A29" s="72" t="s">
        <v>26</v>
      </c>
      <c r="B29" s="112">
        <v>0</v>
      </c>
      <c r="C29" s="112">
        <v>0</v>
      </c>
      <c r="D29" s="112">
        <v>0</v>
      </c>
      <c r="E29" s="112">
        <v>0</v>
      </c>
      <c r="F29" s="112">
        <f>2000000-11828.32</f>
        <v>1988171.68</v>
      </c>
      <c r="G29" s="113">
        <f t="shared" si="5"/>
        <v>8.1226264123537353E-2</v>
      </c>
    </row>
    <row r="30" spans="1:9" s="38" customFormat="1" ht="13" x14ac:dyDescent="0.3">
      <c r="A30" s="72" t="s">
        <v>18</v>
      </c>
      <c r="B30" s="112">
        <v>0</v>
      </c>
      <c r="C30" s="112">
        <v>0</v>
      </c>
      <c r="D30" s="112">
        <v>0</v>
      </c>
      <c r="E30" s="112">
        <v>0</v>
      </c>
      <c r="F30" s="172">
        <v>1487.54</v>
      </c>
      <c r="G30" s="142">
        <f t="shared" si="5"/>
        <v>6.077308018708261E-5</v>
      </c>
    </row>
    <row r="31" spans="1:9" s="38" customFormat="1" ht="13" x14ac:dyDescent="0.3">
      <c r="A31" s="72" t="s">
        <v>101</v>
      </c>
      <c r="B31" s="112">
        <v>0</v>
      </c>
      <c r="C31" s="112">
        <v>0</v>
      </c>
      <c r="D31" s="112">
        <v>0</v>
      </c>
      <c r="E31" s="112">
        <v>0</v>
      </c>
      <c r="F31" s="112">
        <v>-19972.22</v>
      </c>
      <c r="G31" s="142">
        <f t="shared" si="5"/>
        <v>-8.1596012717241562E-4</v>
      </c>
    </row>
    <row r="32" spans="1:9" s="38" customFormat="1" ht="13" x14ac:dyDescent="0.3">
      <c r="A32" s="72" t="s">
        <v>114</v>
      </c>
      <c r="B32" s="112">
        <f>SUM(B33:B34)</f>
        <v>0</v>
      </c>
      <c r="C32" s="112">
        <f>SUM(C33:C34)</f>
        <v>0</v>
      </c>
      <c r="D32" s="112">
        <f>SUM(D33:D34)</f>
        <v>0</v>
      </c>
      <c r="E32" s="112">
        <f>SUM(E33:E34)</f>
        <v>0</v>
      </c>
      <c r="F32" s="112">
        <f>SUM(F33:F34)</f>
        <v>494771.92</v>
      </c>
      <c r="G32" s="113">
        <f t="shared" si="5"/>
        <v>2.0213784885432878E-2</v>
      </c>
    </row>
    <row r="33" spans="1:9" s="38" customFormat="1" ht="13" x14ac:dyDescent="0.3">
      <c r="A33" s="72" t="s">
        <v>26</v>
      </c>
      <c r="B33" s="112">
        <v>0</v>
      </c>
      <c r="C33" s="112">
        <v>0</v>
      </c>
      <c r="D33" s="112">
        <v>0</v>
      </c>
      <c r="E33" s="112">
        <v>0</v>
      </c>
      <c r="F33" s="112">
        <f>500000-228.08</f>
        <v>499771.92</v>
      </c>
      <c r="G33" s="113">
        <f t="shared" si="5"/>
        <v>2.041805865348981E-2</v>
      </c>
    </row>
    <row r="34" spans="1:9" s="38" customFormat="1" ht="13" x14ac:dyDescent="0.3">
      <c r="A34" s="72" t="s">
        <v>101</v>
      </c>
      <c r="B34" s="112">
        <v>0</v>
      </c>
      <c r="C34" s="112">
        <v>0</v>
      </c>
      <c r="D34" s="112">
        <v>0</v>
      </c>
      <c r="E34" s="112">
        <v>0</v>
      </c>
      <c r="F34" s="112">
        <v>-5000</v>
      </c>
      <c r="G34" s="113">
        <f t="shared" si="5"/>
        <v>-2.0427376805693499E-4</v>
      </c>
    </row>
    <row r="35" spans="1:9" s="22" customFormat="1" x14ac:dyDescent="0.3">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x14ac:dyDescent="0.3">
      <c r="A36" s="50" t="s">
        <v>109</v>
      </c>
      <c r="B36" s="28">
        <v>0</v>
      </c>
      <c r="C36" s="28">
        <v>0</v>
      </c>
      <c r="D36" s="28">
        <v>0</v>
      </c>
      <c r="E36" s="28">
        <v>99615.65</v>
      </c>
      <c r="F36" s="28">
        <v>0</v>
      </c>
      <c r="G36" s="18">
        <f t="shared" si="5"/>
        <v>0</v>
      </c>
      <c r="H36" s="109"/>
      <c r="I36" s="109"/>
    </row>
    <row r="37" spans="1:9" x14ac:dyDescent="0.3">
      <c r="A37" s="16" t="s">
        <v>3</v>
      </c>
      <c r="B37" s="126">
        <f>+B35+B7+B10+B36</f>
        <v>3914678.62</v>
      </c>
      <c r="C37" s="126">
        <f>+C35+C7+C10+C36</f>
        <v>3882001.17</v>
      </c>
      <c r="D37" s="126">
        <f>+D35+D7+D10+D36</f>
        <v>11828744.469999999</v>
      </c>
      <c r="E37" s="126">
        <f>+E35+E7+E10+E36</f>
        <v>11785672</v>
      </c>
      <c r="F37" s="126">
        <f>+F35+F7+F10+F36</f>
        <v>24476955.84</v>
      </c>
      <c r="G37" s="17">
        <f>+F37/F37</f>
        <v>1</v>
      </c>
    </row>
    <row r="38" spans="1:9" x14ac:dyDescent="0.3">
      <c r="A38" s="3"/>
      <c r="B38" s="65"/>
      <c r="C38" s="65"/>
      <c r="D38" s="65"/>
      <c r="E38" s="65"/>
      <c r="F38" s="65"/>
      <c r="G38" s="95"/>
    </row>
    <row r="39" spans="1:9" x14ac:dyDescent="0.3">
      <c r="A39" s="77" t="s">
        <v>4</v>
      </c>
      <c r="B39" s="11"/>
      <c r="C39" s="11"/>
      <c r="D39" s="11"/>
      <c r="E39" s="11"/>
      <c r="F39" s="11"/>
      <c r="G39" s="18"/>
    </row>
    <row r="40" spans="1:9" x14ac:dyDescent="0.3">
      <c r="A40" s="78"/>
      <c r="B40" s="11"/>
      <c r="C40" s="11"/>
      <c r="D40" s="11"/>
      <c r="E40" s="11"/>
      <c r="F40" s="11"/>
      <c r="G40" s="18"/>
    </row>
    <row r="41" spans="1:9" x14ac:dyDescent="0.3">
      <c r="A41" s="79" t="s">
        <v>19</v>
      </c>
      <c r="B41" s="11"/>
      <c r="C41" s="11"/>
      <c r="D41" s="11"/>
      <c r="E41" s="11"/>
      <c r="F41" s="11"/>
      <c r="G41" s="18"/>
    </row>
    <row r="42" spans="1:9" s="38" customFormat="1" x14ac:dyDescent="0.3">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 x14ac:dyDescent="0.3">
      <c r="A43" s="10" t="s">
        <v>77</v>
      </c>
      <c r="B43" s="62">
        <v>0</v>
      </c>
      <c r="C43" s="124">
        <v>0</v>
      </c>
      <c r="D43" s="124">
        <v>0</v>
      </c>
      <c r="E43" s="124">
        <v>10000</v>
      </c>
      <c r="F43" s="124">
        <f>4900+10000</f>
        <v>14900</v>
      </c>
      <c r="G43" s="61">
        <f>F43/$F$85</f>
        <v>6.087358288096663E-4</v>
      </c>
    </row>
    <row r="44" spans="1:9" s="38" customFormat="1" ht="13" x14ac:dyDescent="0.3">
      <c r="A44" s="72" t="s">
        <v>51</v>
      </c>
      <c r="B44" s="62">
        <v>0</v>
      </c>
      <c r="C44" s="124">
        <v>0</v>
      </c>
      <c r="D44" s="124">
        <v>0</v>
      </c>
      <c r="E44" s="124">
        <v>2000</v>
      </c>
      <c r="F44" s="124">
        <v>0</v>
      </c>
      <c r="G44" s="61">
        <f t="shared" ref="G44:G48" si="10">F44/$F$85</f>
        <v>0</v>
      </c>
    </row>
    <row r="45" spans="1:9" s="38" customFormat="1" ht="13" x14ac:dyDescent="0.3">
      <c r="A45" s="72" t="s">
        <v>66</v>
      </c>
      <c r="B45" s="62">
        <v>0</v>
      </c>
      <c r="C45" s="124">
        <v>0</v>
      </c>
      <c r="D45" s="124">
        <v>0</v>
      </c>
      <c r="E45" s="124">
        <v>3750</v>
      </c>
      <c r="F45" s="124">
        <v>0</v>
      </c>
      <c r="G45" s="61">
        <f t="shared" si="10"/>
        <v>0</v>
      </c>
    </row>
    <row r="46" spans="1:9" s="38" customFormat="1" ht="13" x14ac:dyDescent="0.3">
      <c r="A46" s="72" t="s">
        <v>122</v>
      </c>
      <c r="B46" s="62">
        <v>0</v>
      </c>
      <c r="C46" s="124">
        <v>833.33</v>
      </c>
      <c r="D46" s="124">
        <f>833.33+5166.67</f>
        <v>6000</v>
      </c>
      <c r="E46" s="124">
        <v>11000</v>
      </c>
      <c r="F46" s="124">
        <v>20555.560000000001</v>
      </c>
      <c r="G46" s="61">
        <f t="shared" si="10"/>
        <v>8.397923391440823E-4</v>
      </c>
    </row>
    <row r="47" spans="1:9" s="38" customFormat="1" ht="13" x14ac:dyDescent="0.3">
      <c r="A47" s="10" t="s">
        <v>67</v>
      </c>
      <c r="B47" s="62">
        <v>0</v>
      </c>
      <c r="C47" s="124">
        <v>0</v>
      </c>
      <c r="D47" s="124">
        <v>0</v>
      </c>
      <c r="E47" s="124">
        <v>0</v>
      </c>
      <c r="F47" s="124">
        <v>1275</v>
      </c>
      <c r="G47" s="61">
        <f t="shared" si="10"/>
        <v>5.2089810854518426E-5</v>
      </c>
    </row>
    <row r="48" spans="1:9" s="38" customFormat="1" ht="13" x14ac:dyDescent="0.3">
      <c r="A48" s="10" t="s">
        <v>78</v>
      </c>
      <c r="B48" s="62">
        <v>0</v>
      </c>
      <c r="C48" s="124">
        <v>3278.6885245901599</v>
      </c>
      <c r="D48" s="124">
        <v>0</v>
      </c>
      <c r="E48" s="124">
        <v>0</v>
      </c>
      <c r="F48" s="124">
        <v>75375.14</v>
      </c>
      <c r="G48" s="61">
        <f t="shared" si="10"/>
        <v>3.0794327731238007E-3</v>
      </c>
      <c r="H48" s="46"/>
      <c r="I48" s="104"/>
    </row>
    <row r="49" spans="1:16" s="38" customFormat="1" ht="13" hidden="1" x14ac:dyDescent="0.3">
      <c r="A49" s="10" t="s">
        <v>83</v>
      </c>
      <c r="B49" s="62"/>
      <c r="C49" s="124"/>
      <c r="D49" s="124"/>
      <c r="E49" s="124"/>
      <c r="F49" s="124"/>
      <c r="G49" s="61">
        <f>B49/$B$85</f>
        <v>0</v>
      </c>
    </row>
    <row r="50" spans="1:16" s="38" customFormat="1" ht="13" hidden="1" x14ac:dyDescent="0.3">
      <c r="A50" s="10" t="s">
        <v>84</v>
      </c>
      <c r="B50" s="62">
        <v>0</v>
      </c>
      <c r="C50" s="124">
        <v>0</v>
      </c>
      <c r="D50" s="124">
        <v>0</v>
      </c>
      <c r="E50" s="124">
        <v>0</v>
      </c>
      <c r="F50" s="124">
        <v>0</v>
      </c>
      <c r="G50" s="61">
        <f>B50/$B$85</f>
        <v>0</v>
      </c>
      <c r="H50" s="44"/>
    </row>
    <row r="51" spans="1:16" s="38" customFormat="1" ht="13" hidden="1" x14ac:dyDescent="0.3">
      <c r="A51" s="10" t="s">
        <v>75</v>
      </c>
      <c r="B51" s="62">
        <v>0</v>
      </c>
      <c r="C51" s="124">
        <v>0</v>
      </c>
      <c r="D51" s="124">
        <v>0</v>
      </c>
      <c r="E51" s="124">
        <v>0</v>
      </c>
      <c r="F51" s="124">
        <v>0</v>
      </c>
      <c r="G51" s="61">
        <f>B51/$B$85</f>
        <v>0</v>
      </c>
      <c r="J51" s="96"/>
    </row>
    <row r="52" spans="1:16" s="38" customFormat="1" ht="13" x14ac:dyDescent="0.3">
      <c r="B52" s="62"/>
      <c r="C52" s="124"/>
      <c r="D52" s="124"/>
      <c r="E52" s="124"/>
      <c r="F52" s="124"/>
      <c r="G52" s="61"/>
      <c r="J52" s="96"/>
    </row>
    <row r="53" spans="1:16" s="38" customFormat="1" x14ac:dyDescent="0.3">
      <c r="A53" s="131" t="s">
        <v>115</v>
      </c>
      <c r="B53" s="62"/>
      <c r="C53" s="124"/>
      <c r="D53" s="124"/>
      <c r="E53" s="124"/>
      <c r="F53" s="124"/>
      <c r="G53" s="61"/>
      <c r="J53" s="96"/>
    </row>
    <row r="54" spans="1:16" s="38" customFormat="1" ht="13" x14ac:dyDescent="0.3">
      <c r="B54" s="62"/>
      <c r="C54" s="124"/>
      <c r="D54" s="124"/>
      <c r="E54" s="124"/>
      <c r="F54" s="124"/>
      <c r="G54" s="61"/>
      <c r="J54" s="96"/>
    </row>
    <row r="55" spans="1:16" s="133" customFormat="1" ht="14.5" x14ac:dyDescent="0.35">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 x14ac:dyDescent="0.3">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 x14ac:dyDescent="0.3">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 x14ac:dyDescent="0.3">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 x14ac:dyDescent="0.3">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 x14ac:dyDescent="0.3">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 x14ac:dyDescent="0.3">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 x14ac:dyDescent="0.3">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 x14ac:dyDescent="0.3">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 x14ac:dyDescent="0.3">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5" x14ac:dyDescent="0.35">
      <c r="A65" s="132" t="s">
        <v>109</v>
      </c>
      <c r="B65" s="49">
        <v>0</v>
      </c>
      <c r="C65" s="49">
        <v>0</v>
      </c>
      <c r="D65" s="49">
        <v>0</v>
      </c>
      <c r="E65" s="49">
        <v>0</v>
      </c>
      <c r="F65" s="28">
        <v>-222607.48</v>
      </c>
      <c r="G65" s="52">
        <f>+F65/F85</f>
        <v>-9.0945737474517601E-3</v>
      </c>
    </row>
    <row r="66" spans="1:12" x14ac:dyDescent="0.3">
      <c r="A66" s="42" t="s">
        <v>5</v>
      </c>
      <c r="B66" s="13">
        <f>+B42</f>
        <v>0</v>
      </c>
      <c r="C66" s="13">
        <f>+C42</f>
        <v>4112.0185245901603</v>
      </c>
      <c r="D66" s="13">
        <f>+D42</f>
        <v>6000</v>
      </c>
      <c r="E66" s="13">
        <f>+E42</f>
        <v>26750</v>
      </c>
      <c r="F66" s="13">
        <f>+F42+F55+F65</f>
        <v>12921698.219999999</v>
      </c>
      <c r="G66" s="17">
        <f>+E66/E85</f>
        <v>2.2697051113874074E-3</v>
      </c>
    </row>
    <row r="67" spans="1:12" x14ac:dyDescent="0.3">
      <c r="A67" s="3"/>
      <c r="B67" s="51"/>
      <c r="C67" s="15"/>
      <c r="D67" s="15"/>
      <c r="E67" s="15"/>
      <c r="F67" s="15"/>
      <c r="G67" s="76"/>
    </row>
    <row r="68" spans="1:12" x14ac:dyDescent="0.3">
      <c r="A68" s="25" t="s">
        <v>6</v>
      </c>
      <c r="B68" s="66"/>
      <c r="C68" s="66"/>
      <c r="D68" s="66"/>
      <c r="E68" s="66"/>
      <c r="F68" s="66" t="s">
        <v>133</v>
      </c>
      <c r="G68" s="53"/>
      <c r="I68" s="59"/>
    </row>
    <row r="69" spans="1:12" x14ac:dyDescent="0.3">
      <c r="A69" s="50"/>
      <c r="B69" s="4"/>
      <c r="C69" s="4"/>
      <c r="D69" s="4"/>
      <c r="E69" s="4"/>
      <c r="F69" s="4"/>
      <c r="G69" s="54"/>
      <c r="J69" s="125"/>
    </row>
    <row r="70" spans="1:12" s="21" customFormat="1" x14ac:dyDescent="0.3">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 x14ac:dyDescent="0.3">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x14ac:dyDescent="0.3">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 x14ac:dyDescent="0.3">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 x14ac:dyDescent="0.3">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 x14ac:dyDescent="0.3">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 x14ac:dyDescent="0.3">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 x14ac:dyDescent="0.3">
      <c r="A77" s="72" t="s">
        <v>94</v>
      </c>
      <c r="B77" s="30">
        <v>50000</v>
      </c>
      <c r="C77" s="127">
        <v>50000</v>
      </c>
      <c r="D77" s="127">
        <v>50000</v>
      </c>
      <c r="E77" s="127">
        <v>50000</v>
      </c>
      <c r="F77" s="127">
        <v>50000</v>
      </c>
      <c r="G77" s="63">
        <f t="shared" si="16"/>
        <v>2.0427376805693502E-3</v>
      </c>
      <c r="H77" s="123"/>
      <c r="I77" s="110"/>
      <c r="J77" s="110"/>
      <c r="K77" s="75"/>
    </row>
    <row r="78" spans="1:12" ht="14.5" hidden="1" x14ac:dyDescent="0.35">
      <c r="A78" s="97" t="s">
        <v>53</v>
      </c>
      <c r="B78" s="98">
        <v>0</v>
      </c>
      <c r="C78" s="4">
        <v>0</v>
      </c>
      <c r="D78" s="4">
        <v>0</v>
      </c>
      <c r="E78" s="4">
        <v>0</v>
      </c>
      <c r="F78" s="4">
        <v>0</v>
      </c>
      <c r="G78" s="54">
        <f t="shared" ref="G78:G81" si="19">+B78/$B$85</f>
        <v>0</v>
      </c>
      <c r="H78" s="121"/>
    </row>
    <row r="79" spans="1:12" ht="14.5" hidden="1" x14ac:dyDescent="0.35">
      <c r="A79" s="97" t="s">
        <v>58</v>
      </c>
      <c r="B79" s="98">
        <f t="shared" ref="B79" si="20">+B80+B81</f>
        <v>0</v>
      </c>
      <c r="C79" s="4">
        <f>+C80+C81</f>
        <v>0</v>
      </c>
      <c r="D79" s="4">
        <f>+D80+D81</f>
        <v>0</v>
      </c>
      <c r="E79" s="4">
        <f>+E80+E81</f>
        <v>0</v>
      </c>
      <c r="F79" s="4">
        <f>+F80+F81</f>
        <v>0</v>
      </c>
      <c r="G79" s="54">
        <f t="shared" si="19"/>
        <v>0</v>
      </c>
      <c r="H79" s="121"/>
      <c r="I79" s="59"/>
    </row>
    <row r="80" spans="1:12" s="21" customFormat="1" ht="13" hidden="1" x14ac:dyDescent="0.3">
      <c r="A80" s="72" t="s">
        <v>76</v>
      </c>
      <c r="B80" s="30">
        <v>0</v>
      </c>
      <c r="C80" s="127">
        <v>0</v>
      </c>
      <c r="D80" s="127">
        <v>0</v>
      </c>
      <c r="E80" s="127">
        <v>0</v>
      </c>
      <c r="F80" s="127">
        <v>0</v>
      </c>
      <c r="G80" s="63">
        <f t="shared" si="19"/>
        <v>0</v>
      </c>
      <c r="H80" s="103"/>
    </row>
    <row r="81" spans="1:12" s="21" customFormat="1" ht="13" hidden="1" x14ac:dyDescent="0.3">
      <c r="A81" s="72" t="s">
        <v>59</v>
      </c>
      <c r="B81" s="30">
        <v>0</v>
      </c>
      <c r="C81" s="127">
        <v>0</v>
      </c>
      <c r="D81" s="127">
        <v>0</v>
      </c>
      <c r="E81" s="127">
        <v>0</v>
      </c>
      <c r="F81" s="127">
        <v>0</v>
      </c>
      <c r="G81" s="63">
        <f t="shared" si="19"/>
        <v>0</v>
      </c>
      <c r="H81" s="103"/>
    </row>
    <row r="82" spans="1:12" x14ac:dyDescent="0.3">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x14ac:dyDescent="0.3">
      <c r="A83" s="50"/>
      <c r="B83" s="4"/>
      <c r="C83" s="4"/>
      <c r="D83" s="4"/>
      <c r="E83" s="4"/>
      <c r="F83" s="4"/>
      <c r="G83" s="54"/>
      <c r="H83" s="76"/>
      <c r="I83" s="76"/>
      <c r="J83" s="59"/>
    </row>
    <row r="84" spans="1:12" x14ac:dyDescent="0.3">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x14ac:dyDescent="0.3">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x14ac:dyDescent="0.3">
      <c r="A86" s="43"/>
      <c r="B86" s="67"/>
      <c r="C86" s="67"/>
      <c r="D86" s="67"/>
      <c r="E86" s="67"/>
      <c r="F86" s="67"/>
      <c r="G86" s="83"/>
      <c r="I86" s="59"/>
      <c r="J86" s="59"/>
    </row>
    <row r="87" spans="1:12" x14ac:dyDescent="0.3">
      <c r="A87" s="81" t="s">
        <v>80</v>
      </c>
      <c r="B87" s="68" t="str">
        <f>+B3</f>
        <v>August</v>
      </c>
      <c r="C87" s="68" t="str">
        <f>+C3</f>
        <v>September</v>
      </c>
      <c r="D87" s="68" t="str">
        <f>+D3</f>
        <v>October</v>
      </c>
      <c r="E87" s="68" t="str">
        <f>+E3</f>
        <v>November</v>
      </c>
      <c r="F87" s="68" t="str">
        <f>+F3</f>
        <v>December</v>
      </c>
      <c r="G87" s="68" t="str">
        <f>+F87</f>
        <v>December</v>
      </c>
    </row>
    <row r="88" spans="1:12" x14ac:dyDescent="0.3">
      <c r="A88" s="24"/>
      <c r="B88" s="69"/>
      <c r="C88" s="69"/>
      <c r="D88" s="69"/>
      <c r="E88" s="69"/>
      <c r="F88" s="69"/>
      <c r="G88" s="31" t="s">
        <v>24</v>
      </c>
    </row>
    <row r="89" spans="1:12" s="38" customFormat="1" x14ac:dyDescent="0.3">
      <c r="A89" s="50" t="s">
        <v>11</v>
      </c>
      <c r="B89" s="70"/>
      <c r="C89" s="70"/>
      <c r="D89" s="70"/>
      <c r="E89" s="70"/>
      <c r="F89" s="70"/>
      <c r="G89" s="25"/>
    </row>
    <row r="90" spans="1:12" s="38" customFormat="1" x14ac:dyDescent="0.3">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 x14ac:dyDescent="0.3">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 x14ac:dyDescent="0.3">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 x14ac:dyDescent="0.3">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x14ac:dyDescent="0.3">
      <c r="A94" s="50"/>
      <c r="B94" s="11"/>
      <c r="C94" s="11"/>
      <c r="D94" s="11"/>
      <c r="E94" s="11"/>
      <c r="F94" s="11"/>
      <c r="G94" s="11"/>
    </row>
    <row r="95" spans="1:12" s="38" customFormat="1" x14ac:dyDescent="0.3">
      <c r="A95" s="50" t="s">
        <v>12</v>
      </c>
      <c r="B95" s="11"/>
      <c r="C95" s="11"/>
      <c r="D95" s="11"/>
      <c r="E95" s="11"/>
      <c r="F95" s="11"/>
      <c r="G95" s="11"/>
    </row>
    <row r="96" spans="1:12" s="38" customFormat="1" ht="13" x14ac:dyDescent="0.3">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 x14ac:dyDescent="0.3">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 x14ac:dyDescent="0.3">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 x14ac:dyDescent="0.3">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 x14ac:dyDescent="0.2">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 x14ac:dyDescent="0.2">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 x14ac:dyDescent="0.3">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 x14ac:dyDescent="0.2">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 x14ac:dyDescent="0.2">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 hidden="1" x14ac:dyDescent="0.2">
      <c r="A105" s="114" t="str">
        <f t="shared" si="36"/>
        <v>Davies</v>
      </c>
      <c r="B105" s="120"/>
      <c r="C105" s="120"/>
      <c r="D105" s="120">
        <f t="shared" si="35"/>
        <v>-3710.16</v>
      </c>
      <c r="E105" s="120">
        <f t="shared" si="35"/>
        <v>-9152.15</v>
      </c>
      <c r="F105" s="120">
        <f t="shared" si="35"/>
        <v>-31073.43</v>
      </c>
      <c r="G105" s="122">
        <f>SUM(B105:D105)</f>
        <v>-3710.16</v>
      </c>
    </row>
    <row r="106" spans="1:7" s="116" customFormat="1" ht="9" hidden="1" x14ac:dyDescent="0.2">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 x14ac:dyDescent="0.3">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 x14ac:dyDescent="0.3">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 x14ac:dyDescent="0.3">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 x14ac:dyDescent="0.3">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 x14ac:dyDescent="0.3">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 x14ac:dyDescent="0.3">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x14ac:dyDescent="0.3">
      <c r="A113" s="23"/>
      <c r="B113" s="71"/>
      <c r="C113" s="71"/>
      <c r="D113" s="71"/>
      <c r="E113" s="71"/>
      <c r="F113" s="71"/>
      <c r="G113" s="71"/>
    </row>
    <row r="114" spans="1:7" x14ac:dyDescent="0.3">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x14ac:dyDescent="0.3">
      <c r="A115" s="77"/>
      <c r="B115" s="40"/>
      <c r="C115" s="40"/>
      <c r="D115" s="40"/>
      <c r="E115" s="40"/>
      <c r="F115" s="40"/>
      <c r="G115" s="25"/>
    </row>
    <row r="116" spans="1:7" x14ac:dyDescent="0.3">
      <c r="A116" s="9" t="s">
        <v>54</v>
      </c>
      <c r="B116" s="137">
        <v>0</v>
      </c>
      <c r="C116" s="137">
        <v>0</v>
      </c>
      <c r="D116" s="137">
        <v>0</v>
      </c>
      <c r="E116" s="137">
        <v>0</v>
      </c>
      <c r="F116" s="137">
        <f>+F152</f>
        <v>-20132.800000000003</v>
      </c>
      <c r="G116" s="137">
        <f>SUM(B116:F116)</f>
        <v>-20132.800000000003</v>
      </c>
    </row>
    <row r="117" spans="1:7" x14ac:dyDescent="0.3">
      <c r="A117" s="39"/>
      <c r="B117" s="140"/>
      <c r="C117" s="139"/>
      <c r="D117" s="140"/>
      <c r="E117" s="139"/>
      <c r="F117" s="135"/>
      <c r="G117" s="5"/>
    </row>
    <row r="118" spans="1:7" x14ac:dyDescent="0.3">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x14ac:dyDescent="0.3">
      <c r="A119" s="43"/>
      <c r="B119" s="14"/>
      <c r="C119" s="14"/>
      <c r="D119" s="14"/>
      <c r="E119" s="14"/>
      <c r="F119" s="14"/>
      <c r="G119" s="14"/>
    </row>
    <row r="120" spans="1:7" x14ac:dyDescent="0.3">
      <c r="A120" s="43"/>
      <c r="B120" s="14"/>
      <c r="C120" s="128"/>
      <c r="D120" s="128"/>
      <c r="E120" s="128"/>
      <c r="F120" s="128"/>
      <c r="G120" s="84"/>
    </row>
    <row r="121" spans="1:7" x14ac:dyDescent="0.3">
      <c r="A121" s="43"/>
      <c r="B121" s="60"/>
      <c r="C121" s="129"/>
      <c r="D121" s="129"/>
      <c r="E121" s="129"/>
      <c r="F121" s="129"/>
      <c r="G121" s="85"/>
    </row>
    <row r="122" spans="1:7" x14ac:dyDescent="0.3">
      <c r="A122" s="25" t="s">
        <v>81</v>
      </c>
      <c r="B122" s="70"/>
      <c r="C122" s="70"/>
      <c r="D122" s="70"/>
      <c r="E122" s="70"/>
      <c r="F122" s="70"/>
      <c r="G122" s="36"/>
    </row>
    <row r="123" spans="1:7" x14ac:dyDescent="0.3">
      <c r="A123" s="50"/>
      <c r="B123" s="11"/>
      <c r="C123" s="11"/>
      <c r="D123" s="11"/>
      <c r="E123" s="11"/>
      <c r="F123" s="11"/>
      <c r="G123" s="64"/>
    </row>
    <row r="124" spans="1:7" s="38" customFormat="1" x14ac:dyDescent="0.3">
      <c r="A124" s="50" t="s">
        <v>11</v>
      </c>
      <c r="B124" s="11"/>
      <c r="C124" s="11"/>
      <c r="D124" s="11"/>
      <c r="E124" s="11"/>
      <c r="F124" s="11"/>
      <c r="G124" s="64"/>
    </row>
    <row r="125" spans="1:7" s="38" customFormat="1" ht="13" x14ac:dyDescent="0.3">
      <c r="A125" s="72" t="s">
        <v>35</v>
      </c>
      <c r="B125" s="41">
        <v>0</v>
      </c>
      <c r="C125" s="124">
        <v>0</v>
      </c>
      <c r="D125" s="124">
        <v>4500</v>
      </c>
      <c r="E125" s="124">
        <f>4500+35000</f>
        <v>39500</v>
      </c>
      <c r="F125" s="124">
        <v>88843.63</v>
      </c>
      <c r="G125" s="89"/>
    </row>
    <row r="126" spans="1:7" s="38" customFormat="1" ht="13" x14ac:dyDescent="0.3">
      <c r="A126" s="72" t="s">
        <v>102</v>
      </c>
      <c r="B126" s="41">
        <v>0</v>
      </c>
      <c r="C126" s="124">
        <v>0</v>
      </c>
      <c r="D126" s="124">
        <v>112.5</v>
      </c>
      <c r="E126" s="124">
        <f>112.5+875</f>
        <v>987.5</v>
      </c>
      <c r="F126" s="124">
        <v>2410.36</v>
      </c>
      <c r="G126" s="89"/>
    </row>
    <row r="127" spans="1:7" s="38" customFormat="1" ht="13" x14ac:dyDescent="0.3">
      <c r="A127" s="72" t="s">
        <v>89</v>
      </c>
      <c r="B127" s="41">
        <v>61.59</v>
      </c>
      <c r="C127" s="124">
        <v>252.99</v>
      </c>
      <c r="D127" s="124">
        <f>252.99+192</f>
        <v>444.99</v>
      </c>
      <c r="E127" s="152">
        <f>252.99+192+292.1+28058.32-23323.62</f>
        <v>5471.7900000000009</v>
      </c>
      <c r="F127" s="124">
        <f>32965.1+1315.17-23323.62</f>
        <v>10956.649999999998</v>
      </c>
      <c r="G127" s="89"/>
    </row>
    <row r="128" spans="1:7" x14ac:dyDescent="0.3">
      <c r="A128" s="50" t="s">
        <v>8</v>
      </c>
      <c r="B128" s="11">
        <f>SUM(B125:B127)</f>
        <v>61.59</v>
      </c>
      <c r="C128" s="11">
        <f>SUM(C125:C127)</f>
        <v>252.99</v>
      </c>
      <c r="D128" s="11">
        <f>SUM(D125:D127)</f>
        <v>5057.49</v>
      </c>
      <c r="E128" s="11">
        <f>SUM(E125:E127)</f>
        <v>45959.29</v>
      </c>
      <c r="F128" s="11">
        <f>SUM(F125:F127)</f>
        <v>102210.64</v>
      </c>
      <c r="G128" s="36"/>
    </row>
    <row r="129" spans="1:7" x14ac:dyDescent="0.3">
      <c r="A129" s="50"/>
      <c r="B129" s="11"/>
      <c r="C129" s="11"/>
      <c r="D129" s="11"/>
      <c r="E129" s="11"/>
      <c r="F129" s="11"/>
      <c r="G129" s="76"/>
    </row>
    <row r="130" spans="1:7" s="38" customFormat="1" x14ac:dyDescent="0.3">
      <c r="A130" s="50" t="s">
        <v>12</v>
      </c>
      <c r="B130" s="11"/>
      <c r="C130" s="11"/>
      <c r="D130" s="11"/>
      <c r="E130" s="11"/>
      <c r="F130" s="11"/>
      <c r="G130" s="36"/>
    </row>
    <row r="131" spans="1:7" s="38" customFormat="1" ht="13" x14ac:dyDescent="0.3">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 x14ac:dyDescent="0.3">
      <c r="A132" s="72" t="s">
        <v>62</v>
      </c>
      <c r="B132" s="41">
        <v>0</v>
      </c>
      <c r="C132" s="124">
        <v>0</v>
      </c>
      <c r="D132" s="124">
        <v>0</v>
      </c>
      <c r="E132" s="124">
        <v>0</v>
      </c>
      <c r="F132" s="124">
        <f>-24111.11-11200</f>
        <v>-35311.11</v>
      </c>
      <c r="G132" s="111"/>
    </row>
    <row r="133" spans="1:7" s="38" customFormat="1" ht="13" x14ac:dyDescent="0.3">
      <c r="A133" s="72" t="s">
        <v>120</v>
      </c>
      <c r="B133" s="41">
        <v>0</v>
      </c>
      <c r="C133" s="124">
        <v>-833.33</v>
      </c>
      <c r="D133" s="124">
        <f>-833.33-5166.67</f>
        <v>-6000</v>
      </c>
      <c r="E133" s="124">
        <f>-833.33-5166.67-5000-384.35-5000</f>
        <v>-16384.349999999999</v>
      </c>
      <c r="F133" s="124">
        <v>-27948.080000000002</v>
      </c>
      <c r="G133" s="111"/>
    </row>
    <row r="134" spans="1:7" s="38" customFormat="1" ht="13" x14ac:dyDescent="0.3">
      <c r="A134" s="72" t="s">
        <v>97</v>
      </c>
      <c r="B134" s="41">
        <f>+B135+B136</f>
        <v>-108091.63</v>
      </c>
      <c r="C134" s="124">
        <f>+C135+C136</f>
        <v>-108091.63</v>
      </c>
      <c r="D134" s="124">
        <f>+D135+D136</f>
        <v>-108091.63</v>
      </c>
      <c r="E134" s="124">
        <f>+E135+E136</f>
        <v>-108091.63</v>
      </c>
      <c r="F134" s="124">
        <f>+F135+F136</f>
        <v>-108091.63</v>
      </c>
      <c r="G134" s="87"/>
    </row>
    <row r="135" spans="1:7" s="80" customFormat="1" ht="10" x14ac:dyDescent="0.2">
      <c r="A135" s="107" t="s">
        <v>98</v>
      </c>
      <c r="B135" s="49">
        <v>-91234.67</v>
      </c>
      <c r="C135" s="49">
        <v>-91234.67</v>
      </c>
      <c r="D135" s="49">
        <v>-91234.67</v>
      </c>
      <c r="E135" s="49">
        <v>-91234.67</v>
      </c>
      <c r="F135" s="49">
        <v>-91234.67</v>
      </c>
      <c r="G135" s="108"/>
    </row>
    <row r="136" spans="1:7" s="80" customFormat="1" ht="10" x14ac:dyDescent="0.2">
      <c r="A136" s="107" t="s">
        <v>99</v>
      </c>
      <c r="B136" s="49">
        <v>-16856.96</v>
      </c>
      <c r="C136" s="49">
        <v>-16856.96</v>
      </c>
      <c r="D136" s="49">
        <v>-16856.96</v>
      </c>
      <c r="E136" s="49">
        <v>-16856.96</v>
      </c>
      <c r="F136" s="49">
        <v>-16856.96</v>
      </c>
      <c r="G136" s="108"/>
    </row>
    <row r="137" spans="1:7" s="38" customFormat="1" ht="13" x14ac:dyDescent="0.3">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 x14ac:dyDescent="0.2">
      <c r="A138" s="107" t="s">
        <v>107</v>
      </c>
      <c r="B138" s="118">
        <v>0</v>
      </c>
      <c r="C138" s="118">
        <v>0</v>
      </c>
      <c r="D138" s="118">
        <v>0</v>
      </c>
      <c r="E138" s="118">
        <v>0</v>
      </c>
      <c r="F138" s="118">
        <v>-1459.77</v>
      </c>
      <c r="G138" s="108"/>
    </row>
    <row r="139" spans="1:7" s="80" customFormat="1" ht="10" x14ac:dyDescent="0.2">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 x14ac:dyDescent="0.2">
      <c r="A140" s="114" t="s">
        <v>104</v>
      </c>
      <c r="B140" s="120">
        <v>0</v>
      </c>
      <c r="C140" s="120">
        <v>0</v>
      </c>
      <c r="D140" s="120">
        <v>-3710.16</v>
      </c>
      <c r="E140" s="120">
        <f>-3710.16-9152.15</f>
        <v>-12862.31</v>
      </c>
      <c r="F140" s="120">
        <f>-3710.16-9152.15-13517.58-3638.68-13917.17</f>
        <v>-43935.74</v>
      </c>
      <c r="G140" s="115"/>
    </row>
    <row r="141" spans="1:7" s="116" customFormat="1" ht="9" x14ac:dyDescent="0.2">
      <c r="A141" s="114" t="s">
        <v>108</v>
      </c>
      <c r="B141" s="120">
        <v>0</v>
      </c>
      <c r="C141" s="120">
        <v>0</v>
      </c>
      <c r="D141" s="120">
        <v>-1075</v>
      </c>
      <c r="E141" s="120">
        <f>-1075-1075</f>
        <v>-2150</v>
      </c>
      <c r="F141" s="120">
        <v>-5375</v>
      </c>
      <c r="G141" s="115"/>
    </row>
    <row r="142" spans="1:7" s="116" customFormat="1" ht="9" x14ac:dyDescent="0.2">
      <c r="A142" s="114" t="s">
        <v>117</v>
      </c>
      <c r="B142" s="120">
        <v>0</v>
      </c>
      <c r="C142" s="120">
        <v>0</v>
      </c>
      <c r="D142" s="120">
        <v>0</v>
      </c>
      <c r="E142" s="120">
        <v>0</v>
      </c>
      <c r="F142" s="120">
        <v>-30000</v>
      </c>
      <c r="G142" s="115"/>
    </row>
    <row r="143" spans="1:7" s="38" customFormat="1" ht="13" x14ac:dyDescent="0.3">
      <c r="A143" s="72" t="s">
        <v>23</v>
      </c>
      <c r="B143" s="41">
        <v>-305</v>
      </c>
      <c r="C143" s="124">
        <v>-305</v>
      </c>
      <c r="D143" s="124">
        <f>-305-35-140</f>
        <v>-480</v>
      </c>
      <c r="E143" s="124">
        <f>-305-35-140-75</f>
        <v>-555</v>
      </c>
      <c r="F143" s="124">
        <v>-1155</v>
      </c>
      <c r="G143" s="86"/>
    </row>
    <row r="144" spans="1:7" s="38" customFormat="1" ht="13" x14ac:dyDescent="0.3">
      <c r="A144" s="72" t="s">
        <v>56</v>
      </c>
      <c r="B144" s="41">
        <v>0</v>
      </c>
      <c r="C144" s="124">
        <v>0</v>
      </c>
      <c r="D144" s="124">
        <v>0</v>
      </c>
      <c r="E144" s="124">
        <v>-2000</v>
      </c>
      <c r="F144" s="124">
        <v>-2750</v>
      </c>
      <c r="G144" s="86"/>
    </row>
    <row r="145" spans="1:8" s="38" customFormat="1" ht="13" x14ac:dyDescent="0.3">
      <c r="A145" s="72" t="s">
        <v>68</v>
      </c>
      <c r="B145" s="41">
        <v>0</v>
      </c>
      <c r="C145" s="124">
        <v>0</v>
      </c>
      <c r="D145" s="124">
        <v>0</v>
      </c>
      <c r="E145" s="124">
        <v>-3750</v>
      </c>
      <c r="F145" s="124">
        <v>0</v>
      </c>
      <c r="G145" s="86"/>
    </row>
    <row r="146" spans="1:8" s="38" customFormat="1" ht="13" x14ac:dyDescent="0.3">
      <c r="A146" s="72" t="s">
        <v>110</v>
      </c>
      <c r="B146" s="41">
        <v>0</v>
      </c>
      <c r="C146" s="124">
        <v>0</v>
      </c>
      <c r="D146" s="124">
        <v>0</v>
      </c>
      <c r="E146" s="124">
        <v>-10000</v>
      </c>
      <c r="F146" s="124">
        <f>-9800-10000</f>
        <v>-19800</v>
      </c>
      <c r="G146" s="86"/>
    </row>
    <row r="147" spans="1:8" s="38" customFormat="1" ht="13" x14ac:dyDescent="0.3">
      <c r="A147" s="72" t="s">
        <v>22</v>
      </c>
      <c r="B147" s="41">
        <v>0</v>
      </c>
      <c r="C147" s="124">
        <v>0</v>
      </c>
      <c r="D147" s="124">
        <v>0</v>
      </c>
      <c r="E147" s="124">
        <v>0</v>
      </c>
      <c r="F147" s="124">
        <v>-1359.19</v>
      </c>
      <c r="G147" s="86"/>
    </row>
    <row r="148" spans="1:8" x14ac:dyDescent="0.3">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x14ac:dyDescent="0.3">
      <c r="A149" s="23"/>
      <c r="B149" s="71"/>
      <c r="C149" s="71"/>
      <c r="D149" s="71"/>
      <c r="E149" s="71"/>
      <c r="F149" s="71"/>
      <c r="G149" s="36"/>
    </row>
    <row r="150" spans="1:8" x14ac:dyDescent="0.3">
      <c r="A150" s="16" t="s">
        <v>118</v>
      </c>
      <c r="B150" s="13">
        <f>+B128+B148</f>
        <v>-135321.38</v>
      </c>
      <c r="C150" s="13">
        <f>+C128+C148</f>
        <v>-172110.85098360662</v>
      </c>
      <c r="D150" s="13">
        <f>+D128+D148</f>
        <v>-227255.53098360662</v>
      </c>
      <c r="E150" s="130">
        <f>+E128+E148</f>
        <v>-291077.99098360661</v>
      </c>
      <c r="F150" s="13">
        <f>+F128+F148</f>
        <v>-474609.57999999996</v>
      </c>
      <c r="G150" s="84"/>
    </row>
    <row r="151" spans="1:8" x14ac:dyDescent="0.3">
      <c r="A151" s="77"/>
      <c r="B151" s="40"/>
      <c r="C151" s="40"/>
      <c r="D151" s="40"/>
      <c r="E151" s="40"/>
      <c r="F151" s="40"/>
      <c r="G151" s="84"/>
    </row>
    <row r="152" spans="1:8" x14ac:dyDescent="0.3">
      <c r="A152" s="9" t="s">
        <v>54</v>
      </c>
      <c r="B152" s="137">
        <v>0</v>
      </c>
      <c r="C152" s="137">
        <v>0</v>
      </c>
      <c r="D152" s="137">
        <v>0</v>
      </c>
      <c r="E152" s="137">
        <v>0</v>
      </c>
      <c r="F152" s="137">
        <f>101045.9-121178.7</f>
        <v>-20132.800000000003</v>
      </c>
      <c r="G152" s="151"/>
    </row>
    <row r="153" spans="1:8" x14ac:dyDescent="0.3">
      <c r="A153" s="39"/>
      <c r="B153" s="140"/>
      <c r="C153" s="139"/>
      <c r="D153" s="140"/>
      <c r="E153" s="139"/>
      <c r="F153" s="135"/>
      <c r="G153" s="84"/>
    </row>
    <row r="154" spans="1:8" x14ac:dyDescent="0.3">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x14ac:dyDescent="0.3">
      <c r="A156" s="3"/>
      <c r="B156" s="93">
        <f>+B37-B85</f>
        <v>0</v>
      </c>
      <c r="C156" s="93">
        <f>+C37-C85</f>
        <v>2.4590166285634041E-3</v>
      </c>
      <c r="D156" s="93">
        <f>+D37-D85</f>
        <v>9.8360516130924225E-4</v>
      </c>
      <c r="E156" s="93">
        <f>+E37-E85</f>
        <v>-9.0163927525281906E-3</v>
      </c>
      <c r="F156" s="93">
        <f>+F37-F85</f>
        <v>0</v>
      </c>
      <c r="G156" s="90"/>
    </row>
    <row r="159" spans="1:8" x14ac:dyDescent="0.3">
      <c r="A159" s="3"/>
      <c r="B159" s="15"/>
      <c r="C159" s="15"/>
      <c r="D159" s="15"/>
      <c r="E159" s="15"/>
      <c r="F159" s="141"/>
    </row>
    <row r="160" spans="1:8" x14ac:dyDescent="0.3">
      <c r="A160" s="3"/>
      <c r="B160" s="90"/>
      <c r="C160" s="90"/>
      <c r="D160" s="90"/>
      <c r="E160" s="90"/>
      <c r="F160" s="26"/>
    </row>
    <row r="161" spans="1:6" x14ac:dyDescent="0.3">
      <c r="A161" s="1" t="s">
        <v>167</v>
      </c>
      <c r="B161" s="48">
        <f>+B77/B70</f>
        <v>1.2345679012345678E-2</v>
      </c>
      <c r="C161" s="48">
        <f t="shared" ref="C161:F161" si="53">+C77/C70</f>
        <v>1.2345679012345678E-2</v>
      </c>
      <c r="D161" s="48">
        <f t="shared" si="53"/>
        <v>4.1493775933609959E-3</v>
      </c>
      <c r="E161" s="48">
        <f t="shared" si="53"/>
        <v>4.1493775933609959E-3</v>
      </c>
      <c r="F161" s="48">
        <f t="shared" si="53"/>
        <v>4.1493775933609959E-3</v>
      </c>
    </row>
    <row r="162" spans="1:6" x14ac:dyDescent="0.3">
      <c r="A162" s="3" t="s">
        <v>168</v>
      </c>
      <c r="B162" s="48">
        <f>+B76/B70</f>
        <v>4.9382716049382713E-2</v>
      </c>
      <c r="C162" s="48">
        <f t="shared" ref="C162:F162" si="54">+C76/C70</f>
        <v>4.9382716049382713E-2</v>
      </c>
      <c r="D162" s="48">
        <f t="shared" si="54"/>
        <v>4.9792531120331947E-2</v>
      </c>
      <c r="E162" s="48">
        <f t="shared" si="54"/>
        <v>4.9792531120331947E-2</v>
      </c>
      <c r="F162" s="48">
        <f t="shared" si="54"/>
        <v>4.9792531120331947E-2</v>
      </c>
    </row>
    <row r="164" spans="1:6" x14ac:dyDescent="0.3">
      <c r="A164" s="1" t="s">
        <v>169</v>
      </c>
      <c r="B164" s="177">
        <f>+B161*B84</f>
        <v>48329.365679012342</v>
      </c>
      <c r="C164" s="177">
        <f t="shared" ref="C164:E164" si="55">+C161*C84</f>
        <v>47875.174679214731</v>
      </c>
      <c r="D164" s="177">
        <f t="shared" si="55"/>
        <v>49057.030991769265</v>
      </c>
      <c r="E164" s="177">
        <f t="shared" si="55"/>
        <v>48792.207506292085</v>
      </c>
      <c r="F164" s="177">
        <f>+(F161*F84)+13.39</f>
        <v>47960.517053941905</v>
      </c>
    </row>
    <row r="165" spans="1:6" x14ac:dyDescent="0.3">
      <c r="B165" s="177"/>
      <c r="C165" s="177">
        <f>+C164-B164</f>
        <v>-454.19099979761086</v>
      </c>
      <c r="D165" s="177">
        <f t="shared" ref="D165:F165" si="56">+D164-C164</f>
        <v>1181.8563125545334</v>
      </c>
      <c r="E165" s="177">
        <f t="shared" si="56"/>
        <v>-264.82348547717993</v>
      </c>
      <c r="F165" s="177">
        <f t="shared" si="56"/>
        <v>-831.69045235017984</v>
      </c>
    </row>
    <row r="166" spans="1:6" x14ac:dyDescent="0.3">
      <c r="B166" s="177"/>
      <c r="C166" s="177"/>
      <c r="D166" s="177"/>
      <c r="E166" s="177"/>
      <c r="F166" s="177"/>
    </row>
    <row r="167" spans="1:6" x14ac:dyDescent="0.3">
      <c r="A167" s="1" t="s">
        <v>170</v>
      </c>
      <c r="B167" s="177">
        <f>+B162*B84</f>
        <v>193317.46271604937</v>
      </c>
      <c r="C167" s="177">
        <f t="shared" ref="C167:E167" si="57">+C162*C84</f>
        <v>191500.69871685893</v>
      </c>
      <c r="D167" s="177">
        <f t="shared" si="57"/>
        <v>588684.37190123124</v>
      </c>
      <c r="E167" s="177">
        <f t="shared" si="57"/>
        <v>585506.49007550499</v>
      </c>
      <c r="F167" s="177">
        <f>(+F162*F84)+160.72</f>
        <v>575526.24464730278</v>
      </c>
    </row>
    <row r="168" spans="1:6" x14ac:dyDescent="0.3">
      <c r="A168" s="1" t="s">
        <v>171</v>
      </c>
      <c r="B168" s="177"/>
      <c r="C168" s="177"/>
      <c r="D168" s="177">
        <v>400000</v>
      </c>
      <c r="E168" s="177"/>
      <c r="F168" s="177"/>
    </row>
    <row r="169" spans="1:6" x14ac:dyDescent="0.3">
      <c r="C169" s="177">
        <f>+C167-B167</f>
        <v>-1816.7639991904434</v>
      </c>
      <c r="D169" s="177">
        <f>+D167-C167-D168</f>
        <v>-2816.3268156276899</v>
      </c>
      <c r="E169" s="177">
        <f t="shared" ref="E169:F169" si="58">+E167-D167-E168</f>
        <v>-3177.8818257262465</v>
      </c>
      <c r="F169" s="177">
        <f t="shared" si="58"/>
        <v>-9980.2454282022081</v>
      </c>
    </row>
  </sheetData>
  <phoneticPr fontId="25"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7"/>
  <sheetViews>
    <sheetView showGridLines="0" topLeftCell="A102" zoomScale="92" zoomScaleNormal="40" workbookViewId="0">
      <selection activeCell="E120" sqref="E120"/>
    </sheetView>
  </sheetViews>
  <sheetFormatPr defaultColWidth="11.453125" defaultRowHeight="14" x14ac:dyDescent="0.3"/>
  <cols>
    <col min="1" max="1" width="39.90625" style="1" customWidth="1"/>
    <col min="2" max="6" width="18" style="1" customWidth="1"/>
    <col min="7" max="7" width="16.36328125" style="48" customWidth="1"/>
    <col min="8" max="8" width="17.453125" style="3" bestFit="1" customWidth="1"/>
    <col min="9" max="9" width="17.54296875" style="3" bestFit="1" customWidth="1"/>
    <col min="10" max="10" width="14.36328125" style="3" customWidth="1"/>
    <col min="11" max="11" width="16" style="3" bestFit="1" customWidth="1"/>
    <col min="12" max="16384" width="11.453125" style="3"/>
  </cols>
  <sheetData>
    <row r="1" spans="1:9" ht="15.5" x14ac:dyDescent="0.35">
      <c r="A1" s="27" t="s">
        <v>123</v>
      </c>
    </row>
    <row r="3" spans="1:9" ht="28" x14ac:dyDescent="0.3">
      <c r="A3" s="73" t="s">
        <v>124</v>
      </c>
      <c r="B3" s="2" t="s">
        <v>52</v>
      </c>
      <c r="C3" s="2" t="s">
        <v>55</v>
      </c>
      <c r="D3" s="2" t="s">
        <v>57</v>
      </c>
      <c r="E3" s="2" t="s">
        <v>158</v>
      </c>
      <c r="F3" s="2" t="s">
        <v>172</v>
      </c>
      <c r="G3" s="82" t="s">
        <v>25</v>
      </c>
    </row>
    <row r="4" spans="1:9" x14ac:dyDescent="0.3">
      <c r="A4" s="3"/>
      <c r="G4" s="36"/>
    </row>
    <row r="5" spans="1:9" x14ac:dyDescent="0.3">
      <c r="A5" s="25" t="s">
        <v>2</v>
      </c>
      <c r="B5" s="7"/>
      <c r="C5" s="7"/>
      <c r="D5" s="7"/>
      <c r="E5" s="7"/>
      <c r="F5" s="7"/>
      <c r="G5" s="20"/>
    </row>
    <row r="6" spans="1:9" x14ac:dyDescent="0.3">
      <c r="A6" s="50"/>
      <c r="B6" s="8"/>
      <c r="C6" s="8"/>
      <c r="D6" s="8"/>
      <c r="E6" s="8"/>
      <c r="F6" s="8"/>
      <c r="G6" s="18"/>
    </row>
    <row r="7" spans="1:9" x14ac:dyDescent="0.3">
      <c r="A7" s="50" t="s">
        <v>9</v>
      </c>
      <c r="B7" s="28">
        <f>+B8+B10+B9</f>
        <v>5772836.9100000001</v>
      </c>
      <c r="C7" s="28">
        <f>+C8+C10+C9</f>
        <v>8823443.9699999988</v>
      </c>
      <c r="D7" s="28">
        <f>+D8+D10+D9</f>
        <v>8283696.6600000001</v>
      </c>
      <c r="E7" s="28">
        <f>+E8+E10+E9</f>
        <v>14807722.299999999</v>
      </c>
      <c r="F7" s="28">
        <f>+F8+F10+F9</f>
        <v>8897773.4799999986</v>
      </c>
      <c r="G7" s="18">
        <f>D7/$D$88</f>
        <v>0.23093834135409691</v>
      </c>
    </row>
    <row r="8" spans="1:9" s="21" customFormat="1" ht="13" x14ac:dyDescent="0.3">
      <c r="A8" s="72" t="s">
        <v>21</v>
      </c>
      <c r="B8" s="112">
        <v>5763609.1600000001</v>
      </c>
      <c r="C8" s="112">
        <v>8014216.2199999997</v>
      </c>
      <c r="D8" s="112">
        <v>8235026.6200000001</v>
      </c>
      <c r="E8" s="112">
        <v>14759052.26</v>
      </c>
      <c r="F8" s="112">
        <v>8849103.4399999995</v>
      </c>
      <c r="G8" s="113">
        <f>+D8/$D$88</f>
        <v>0.2295814859823265</v>
      </c>
      <c r="H8" s="150"/>
    </row>
    <row r="9" spans="1:9" s="21" customFormat="1" ht="13" x14ac:dyDescent="0.3">
      <c r="A9" s="72" t="s">
        <v>121</v>
      </c>
      <c r="B9" s="112">
        <v>0</v>
      </c>
      <c r="C9" s="112">
        <v>0</v>
      </c>
      <c r="D9" s="112">
        <v>0</v>
      </c>
      <c r="E9" s="112"/>
      <c r="F9" s="112"/>
      <c r="G9" s="113">
        <f>+D9/$D$88</f>
        <v>0</v>
      </c>
      <c r="H9" s="105"/>
    </row>
    <row r="10" spans="1:9" s="21" customFormat="1" x14ac:dyDescent="0.3">
      <c r="A10" s="72" t="s">
        <v>105</v>
      </c>
      <c r="B10" s="112">
        <v>9227.75</v>
      </c>
      <c r="C10" s="112">
        <v>809227.75</v>
      </c>
      <c r="D10" s="112">
        <v>48670.04</v>
      </c>
      <c r="E10" s="112">
        <v>48670.04</v>
      </c>
      <c r="F10" s="112">
        <v>48670.04</v>
      </c>
      <c r="G10" s="113">
        <f>+D10/$D$88</f>
        <v>1.3568553717704037E-3</v>
      </c>
      <c r="H10" s="148"/>
      <c r="I10" s="76"/>
    </row>
    <row r="11" spans="1:9" s="21" customFormat="1" x14ac:dyDescent="0.3">
      <c r="A11" s="72"/>
      <c r="B11" s="112"/>
      <c r="C11" s="112"/>
      <c r="D11" s="112"/>
      <c r="E11" s="112"/>
      <c r="F11" s="112"/>
      <c r="G11" s="113"/>
      <c r="H11" s="148"/>
      <c r="I11" s="76"/>
    </row>
    <row r="12" spans="1:9" x14ac:dyDescent="0.3">
      <c r="A12" s="50" t="s">
        <v>103</v>
      </c>
      <c r="B12" s="28">
        <f>+B22+B13</f>
        <v>18164580.170000002</v>
      </c>
      <c r="C12" s="28">
        <f>+C22+C13</f>
        <v>18983682.469999999</v>
      </c>
      <c r="D12" s="28">
        <f>+D22+D13</f>
        <v>27586036.410000004</v>
      </c>
      <c r="E12" s="187">
        <f>+E22+E13</f>
        <v>29733148.460000001</v>
      </c>
      <c r="F12" s="28">
        <f>+F22+F13</f>
        <v>35903318.07</v>
      </c>
      <c r="G12" s="18">
        <f>+D12/D88</f>
        <v>0.76906165864590303</v>
      </c>
      <c r="H12" s="76"/>
      <c r="I12" s="38"/>
    </row>
    <row r="13" spans="1:9" x14ac:dyDescent="0.3">
      <c r="A13" s="29" t="s">
        <v>127</v>
      </c>
      <c r="B13" s="28">
        <f>+B14</f>
        <v>4983063.8900000006</v>
      </c>
      <c r="C13" s="28">
        <f>+C14</f>
        <v>5017052.7799999993</v>
      </c>
      <c r="D13" s="28">
        <f>+D14+D18</f>
        <v>9047250</v>
      </c>
      <c r="E13" s="28">
        <f>+E14+E18</f>
        <v>9116233.5800000001</v>
      </c>
      <c r="F13" s="28">
        <f>+F14+F18</f>
        <v>9187517.75</v>
      </c>
      <c r="G13" s="18">
        <f>+D13/D88</f>
        <v>0.25222518334173927</v>
      </c>
      <c r="H13" s="76"/>
      <c r="I13" s="38"/>
    </row>
    <row r="14" spans="1:9" s="38" customFormat="1" ht="13" x14ac:dyDescent="0.3">
      <c r="A14" s="72" t="s">
        <v>125</v>
      </c>
      <c r="B14" s="112">
        <f>SUM(B15:B17)</f>
        <v>4983063.8900000006</v>
      </c>
      <c r="C14" s="112">
        <f>SUM(C15:C17)</f>
        <v>5017052.7799999993</v>
      </c>
      <c r="D14" s="112">
        <f>SUM(D15:D17)</f>
        <v>5054683.34</v>
      </c>
      <c r="E14" s="112">
        <f>SUM(E15:E17)</f>
        <v>5091101.6500000004</v>
      </c>
      <c r="F14" s="112">
        <f>SUM(F15:F17)</f>
        <v>5128732.7300000004</v>
      </c>
      <c r="G14" s="113">
        <f t="shared" ref="G14:G21" si="0">+D14/$D$88</f>
        <v>0.14091778520168394</v>
      </c>
    </row>
    <row r="15" spans="1:9" s="181" customFormat="1" ht="12" x14ac:dyDescent="0.3">
      <c r="A15" s="178" t="s">
        <v>26</v>
      </c>
      <c r="B15" s="179">
        <v>5000000</v>
      </c>
      <c r="C15" s="179">
        <v>5000000</v>
      </c>
      <c r="D15" s="179">
        <v>5000000</v>
      </c>
      <c r="E15" s="179">
        <v>5000000</v>
      </c>
      <c r="F15" s="179">
        <v>5000000</v>
      </c>
      <c r="G15" s="180">
        <f t="shared" si="0"/>
        <v>0.13939328709925075</v>
      </c>
    </row>
    <row r="16" spans="1:9" s="181" customFormat="1" ht="12" x14ac:dyDescent="0.3">
      <c r="A16" s="178" t="s">
        <v>18</v>
      </c>
      <c r="B16" s="179">
        <v>22536.11</v>
      </c>
      <c r="C16" s="179">
        <v>55747.22</v>
      </c>
      <c r="D16" s="179">
        <v>92516.67</v>
      </c>
      <c r="E16" s="179">
        <v>128101.65</v>
      </c>
      <c r="F16" s="179">
        <v>164871.62</v>
      </c>
      <c r="G16" s="180">
        <f t="shared" si="0"/>
        <v>2.5792405485553279E-3</v>
      </c>
      <c r="H16" s="185"/>
    </row>
    <row r="17" spans="1:11" s="181" customFormat="1" ht="12" x14ac:dyDescent="0.3">
      <c r="A17" s="178" t="s">
        <v>101</v>
      </c>
      <c r="B17" s="179">
        <v>-39472.22</v>
      </c>
      <c r="C17" s="179">
        <v>-38694.44</v>
      </c>
      <c r="D17" s="179">
        <v>-37833.33</v>
      </c>
      <c r="E17" s="179">
        <v>-37000</v>
      </c>
      <c r="F17" s="179">
        <v>-36138.89</v>
      </c>
      <c r="G17" s="180">
        <f t="shared" si="0"/>
        <v>-1.0547424461221392E-3</v>
      </c>
      <c r="H17" s="185"/>
    </row>
    <row r="18" spans="1:11" s="38" customFormat="1" ht="13" x14ac:dyDescent="0.3">
      <c r="A18" s="72" t="s">
        <v>149</v>
      </c>
      <c r="B18" s="112">
        <f>SUM(B19:B21)</f>
        <v>0</v>
      </c>
      <c r="C18" s="112">
        <f>SUM(C19:C21)</f>
        <v>0</v>
      </c>
      <c r="D18" s="112">
        <f>SUM(D19:D21)</f>
        <v>3992566.66</v>
      </c>
      <c r="E18" s="112">
        <f>SUM(E19:E21)</f>
        <v>4025131.9299999997</v>
      </c>
      <c r="F18" s="112">
        <f>SUM(F19:F21)</f>
        <v>4058785.02</v>
      </c>
      <c r="G18" s="113">
        <f t="shared" si="0"/>
        <v>0.11130739814005533</v>
      </c>
      <c r="H18" s="44"/>
    </row>
    <row r="19" spans="1:11" s="181" customFormat="1" ht="12" x14ac:dyDescent="0.3">
      <c r="A19" s="178" t="s">
        <v>26</v>
      </c>
      <c r="B19" s="179">
        <v>0</v>
      </c>
      <c r="C19" s="179">
        <v>0</v>
      </c>
      <c r="D19" s="179">
        <v>4000000</v>
      </c>
      <c r="E19" s="179">
        <v>4000000</v>
      </c>
      <c r="F19" s="179">
        <v>4000000</v>
      </c>
      <c r="G19" s="180">
        <f t="shared" si="0"/>
        <v>0.1115146296794006</v>
      </c>
    </row>
    <row r="20" spans="1:11" s="181" customFormat="1" ht="12" x14ac:dyDescent="0.3">
      <c r="A20" s="178" t="s">
        <v>18</v>
      </c>
      <c r="B20" s="179">
        <v>0</v>
      </c>
      <c r="C20" s="179">
        <v>0</v>
      </c>
      <c r="D20" s="179">
        <v>31733.33</v>
      </c>
      <c r="E20" s="179">
        <v>63465.26</v>
      </c>
      <c r="F20" s="179">
        <v>96257.24</v>
      </c>
      <c r="G20" s="180">
        <f t="shared" si="0"/>
        <v>8.846826358610534E-4</v>
      </c>
    </row>
    <row r="21" spans="1:11" s="181" customFormat="1" ht="12" x14ac:dyDescent="0.3">
      <c r="A21" s="178" t="s">
        <v>101</v>
      </c>
      <c r="B21" s="179">
        <v>0</v>
      </c>
      <c r="C21" s="179">
        <v>0</v>
      </c>
      <c r="D21" s="179">
        <v>-39166.67</v>
      </c>
      <c r="E21" s="179">
        <v>-38333.33</v>
      </c>
      <c r="F21" s="179">
        <v>-37472.22</v>
      </c>
      <c r="G21" s="180">
        <f t="shared" si="0"/>
        <v>-1.0919141752063221E-3</v>
      </c>
    </row>
    <row r="22" spans="1:11" s="38" customFormat="1" ht="13" x14ac:dyDescent="0.3">
      <c r="A22" s="72" t="s">
        <v>100</v>
      </c>
      <c r="B22" s="112">
        <f>+B23+B27+B31+B35+B39+B43+B47</f>
        <v>13181516.280000003</v>
      </c>
      <c r="C22" s="112">
        <f>+C23+C27+C31+C35+C39+C43+C47+C51</f>
        <v>13966629.690000001</v>
      </c>
      <c r="D22" s="112">
        <f>+D23+D27+D31+D35+D39+D43+D47+D51+D55+D59</f>
        <v>18538786.410000004</v>
      </c>
      <c r="E22" s="112">
        <f>+E23+E27+E31+E35+E39+E43+E47+E51+E55+E59+E63</f>
        <v>20616914.879999999</v>
      </c>
      <c r="F22" s="112">
        <f>+F23+F27+F31+F35+F39+F43+F47+F51+F55+F59+F63+F67+F71+F75+F79+F83</f>
        <v>26715800.32</v>
      </c>
      <c r="G22" s="113">
        <f>+D22/D88</f>
        <v>0.51683647530416377</v>
      </c>
      <c r="H22" s="148"/>
      <c r="I22" s="148"/>
      <c r="K22" s="148"/>
    </row>
    <row r="23" spans="1:11" s="38" customFormat="1" ht="13" x14ac:dyDescent="0.3">
      <c r="A23" s="72" t="s">
        <v>128</v>
      </c>
      <c r="B23" s="112">
        <f>SUM(B24:B26)</f>
        <v>2977854.16</v>
      </c>
      <c r="C23" s="112">
        <f>SUM(C24:C26)</f>
        <v>3001770.83</v>
      </c>
      <c r="D23" s="112">
        <f t="shared" ref="D23:F23" si="1">SUM(D24:D26)</f>
        <v>3028249.99</v>
      </c>
      <c r="E23" s="112">
        <f t="shared" si="1"/>
        <v>2978876.99</v>
      </c>
      <c r="F23" s="112">
        <f t="shared" si="1"/>
        <v>3005355.8200000003</v>
      </c>
      <c r="G23" s="113">
        <f t="shared" ref="G23:G54" si="2">+D23/$D$88</f>
        <v>8.4423544052874652E-2</v>
      </c>
      <c r="H23" s="148"/>
      <c r="I23" s="148"/>
      <c r="K23" s="148"/>
    </row>
    <row r="24" spans="1:11" s="181" customFormat="1" ht="12" x14ac:dyDescent="0.3">
      <c r="A24" s="178" t="s">
        <v>26</v>
      </c>
      <c r="B24" s="179">
        <v>3000000</v>
      </c>
      <c r="C24" s="179">
        <v>3000000</v>
      </c>
      <c r="D24" s="179">
        <v>3000000</v>
      </c>
      <c r="E24" s="179">
        <v>3000000</v>
      </c>
      <c r="F24" s="179">
        <v>3000000</v>
      </c>
      <c r="G24" s="180">
        <f t="shared" si="2"/>
        <v>8.3635972259550453E-2</v>
      </c>
      <c r="H24" s="182"/>
      <c r="I24" s="184"/>
      <c r="K24" s="182"/>
    </row>
    <row r="25" spans="1:11" s="181" customFormat="1" ht="12" x14ac:dyDescent="0.3">
      <c r="A25" s="178" t="s">
        <v>18</v>
      </c>
      <c r="B25" s="179">
        <v>5833.33</v>
      </c>
      <c r="C25" s="179">
        <v>29166.66</v>
      </c>
      <c r="D25" s="179">
        <v>54999.99</v>
      </c>
      <c r="E25" s="179">
        <v>5001.99</v>
      </c>
      <c r="F25" s="179">
        <v>30834.99</v>
      </c>
      <c r="G25" s="180">
        <f t="shared" si="2"/>
        <v>1.5333258793051839E-3</v>
      </c>
      <c r="I25" s="185"/>
      <c r="J25" s="182"/>
      <c r="K25" s="182"/>
    </row>
    <row r="26" spans="1:11" s="181" customFormat="1" ht="12" x14ac:dyDescent="0.3">
      <c r="A26" s="178" t="s">
        <v>101</v>
      </c>
      <c r="B26" s="179">
        <v>-27979.17</v>
      </c>
      <c r="C26" s="179">
        <v>-27395.83</v>
      </c>
      <c r="D26" s="179">
        <v>-26750</v>
      </c>
      <c r="E26" s="179">
        <v>-26125</v>
      </c>
      <c r="F26" s="179">
        <v>-25479.17</v>
      </c>
      <c r="G26" s="180">
        <f t="shared" si="2"/>
        <v>-7.4575408598099148E-4</v>
      </c>
      <c r="I26" s="184"/>
      <c r="J26" s="182"/>
    </row>
    <row r="27" spans="1:11" s="38" customFormat="1" ht="13" x14ac:dyDescent="0.3">
      <c r="A27" s="72" t="s">
        <v>129</v>
      </c>
      <c r="B27" s="112">
        <f>SUM(B28:B30)</f>
        <v>1190441.6499999999</v>
      </c>
      <c r="C27" s="112">
        <f>SUM(C28:C30)</f>
        <v>1200008.32</v>
      </c>
      <c r="D27" s="112">
        <f t="shared" ref="D27:F27" si="3">SUM(D28:D30)</f>
        <v>1210599.99</v>
      </c>
      <c r="E27" s="112">
        <f t="shared" si="3"/>
        <v>1190850.99</v>
      </c>
      <c r="F27" s="112">
        <f t="shared" si="3"/>
        <v>1201442.32</v>
      </c>
      <c r="G27" s="113">
        <f t="shared" si="2"/>
        <v>3.3749902393684014E-2</v>
      </c>
      <c r="J27" s="148"/>
    </row>
    <row r="28" spans="1:11" s="181" customFormat="1" ht="12" x14ac:dyDescent="0.3">
      <c r="A28" s="178" t="s">
        <v>26</v>
      </c>
      <c r="B28" s="179">
        <v>1200000</v>
      </c>
      <c r="C28" s="179">
        <v>1200000</v>
      </c>
      <c r="D28" s="179">
        <v>1200000</v>
      </c>
      <c r="E28" s="179">
        <v>1200000</v>
      </c>
      <c r="F28" s="179">
        <v>1200000</v>
      </c>
      <c r="G28" s="180">
        <f t="shared" si="2"/>
        <v>3.345438890382018E-2</v>
      </c>
      <c r="I28" s="182"/>
      <c r="J28" s="182"/>
    </row>
    <row r="29" spans="1:11" s="181" customFormat="1" ht="12" x14ac:dyDescent="0.3">
      <c r="A29" s="178" t="s">
        <v>18</v>
      </c>
      <c r="B29" s="179">
        <v>1666.66</v>
      </c>
      <c r="C29" s="179">
        <v>10999.99</v>
      </c>
      <c r="D29" s="179">
        <v>21333.32</v>
      </c>
      <c r="E29" s="179">
        <v>1334.32</v>
      </c>
      <c r="F29" s="179">
        <v>11667.32</v>
      </c>
      <c r="G29" s="180">
        <f t="shared" si="2"/>
        <v>5.9474431990803758E-4</v>
      </c>
      <c r="J29" s="182"/>
    </row>
    <row r="30" spans="1:11" s="181" customFormat="1" ht="12" x14ac:dyDescent="0.3">
      <c r="A30" s="178" t="s">
        <v>101</v>
      </c>
      <c r="B30" s="179">
        <v>-11225.01</v>
      </c>
      <c r="C30" s="179">
        <v>-10991.67</v>
      </c>
      <c r="D30" s="179">
        <v>-10733.33</v>
      </c>
      <c r="E30" s="179">
        <v>-10483.33</v>
      </c>
      <c r="F30" s="179">
        <v>-10225</v>
      </c>
      <c r="G30" s="180">
        <f t="shared" si="2"/>
        <v>-2.992308300442002E-4</v>
      </c>
      <c r="H30" s="182"/>
      <c r="J30" s="183"/>
    </row>
    <row r="31" spans="1:11" s="38" customFormat="1" ht="13" x14ac:dyDescent="0.3">
      <c r="A31" s="72" t="s">
        <v>111</v>
      </c>
      <c r="B31" s="112">
        <f>SUM(B32:B34)</f>
        <v>754227.88</v>
      </c>
      <c r="C31" s="112">
        <f>SUM(C32:C34)</f>
        <v>759631.34</v>
      </c>
      <c r="D31" s="112">
        <f t="shared" ref="D31:F31" si="4">SUM(D32:D34)</f>
        <v>765326.02999999991</v>
      </c>
      <c r="E31" s="112">
        <f t="shared" si="4"/>
        <v>771037.40999999992</v>
      </c>
      <c r="F31" s="112">
        <f t="shared" si="4"/>
        <v>776940.27999999991</v>
      </c>
      <c r="G31" s="113">
        <f t="shared" si="2"/>
        <v>2.1336262204863957E-2</v>
      </c>
      <c r="H31" s="148"/>
      <c r="J31" s="148"/>
    </row>
    <row r="32" spans="1:11" s="181" customFormat="1" ht="12" x14ac:dyDescent="0.3">
      <c r="A32" s="178" t="s">
        <v>26</v>
      </c>
      <c r="B32" s="179">
        <v>750000</v>
      </c>
      <c r="C32" s="179">
        <v>750000</v>
      </c>
      <c r="D32" s="179">
        <v>750000</v>
      </c>
      <c r="E32" s="179">
        <v>750000</v>
      </c>
      <c r="F32" s="179">
        <v>750000</v>
      </c>
      <c r="G32" s="180">
        <f t="shared" si="2"/>
        <v>2.0908993064887613E-2</v>
      </c>
      <c r="H32" s="182"/>
      <c r="J32" s="183"/>
    </row>
    <row r="33" spans="1:10" s="181" customFormat="1" ht="12" x14ac:dyDescent="0.3">
      <c r="A33" s="178" t="s">
        <v>18</v>
      </c>
      <c r="B33" s="179">
        <v>9937.5</v>
      </c>
      <c r="C33" s="179">
        <v>15187.5</v>
      </c>
      <c r="D33" s="179">
        <v>20712.330000000002</v>
      </c>
      <c r="E33" s="179">
        <v>26259.33</v>
      </c>
      <c r="F33" s="179">
        <v>31992.33</v>
      </c>
      <c r="G33" s="180">
        <f t="shared" si="2"/>
        <v>5.7743195243688489E-4</v>
      </c>
      <c r="H33" s="182"/>
      <c r="J33" s="182"/>
    </row>
    <row r="34" spans="1:10" s="181" customFormat="1" ht="12" x14ac:dyDescent="0.3">
      <c r="A34" s="178" t="s">
        <v>101</v>
      </c>
      <c r="B34" s="179">
        <v>-5709.62</v>
      </c>
      <c r="C34" s="179">
        <v>-5556.16</v>
      </c>
      <c r="D34" s="179">
        <v>-5386.3</v>
      </c>
      <c r="E34" s="179">
        <v>-5221.92</v>
      </c>
      <c r="F34" s="179">
        <v>-5052.05</v>
      </c>
      <c r="G34" s="180">
        <f t="shared" si="2"/>
        <v>-1.5016281246053886E-4</v>
      </c>
    </row>
    <row r="35" spans="1:10" s="38" customFormat="1" ht="13" x14ac:dyDescent="0.3">
      <c r="A35" s="72" t="s">
        <v>112</v>
      </c>
      <c r="B35" s="112">
        <f>SUM(B36:B38)</f>
        <v>4801158.1999999993</v>
      </c>
      <c r="C35" s="112">
        <f>SUM(C36:C38)</f>
        <v>4740583.6199999992</v>
      </c>
      <c r="D35" s="112">
        <f t="shared" ref="D35:F35" si="5">SUM(D36:D38)</f>
        <v>4546765.0200000005</v>
      </c>
      <c r="E35" s="112">
        <f t="shared" si="5"/>
        <v>4604015.6599999992</v>
      </c>
      <c r="F35" s="112">
        <f t="shared" si="5"/>
        <v>4629468.6100000003</v>
      </c>
      <c r="G35" s="113">
        <f t="shared" si="2"/>
        <v>0.12675770436113812</v>
      </c>
    </row>
    <row r="36" spans="1:10" s="181" customFormat="1" ht="12" x14ac:dyDescent="0.3">
      <c r="A36" s="178" t="s">
        <v>26</v>
      </c>
      <c r="B36" s="179">
        <v>4813890.3099999996</v>
      </c>
      <c r="C36" s="179">
        <v>4727650.72</v>
      </c>
      <c r="D36" s="179">
        <v>4585299.08</v>
      </c>
      <c r="E36" s="179">
        <v>4614963.01</v>
      </c>
      <c r="F36" s="179">
        <v>4611994.25</v>
      </c>
      <c r="G36" s="180">
        <f t="shared" si="2"/>
        <v>0.12783198221887407</v>
      </c>
    </row>
    <row r="37" spans="1:10" s="181" customFormat="1" ht="12" x14ac:dyDescent="0.3">
      <c r="A37" s="178" t="s">
        <v>18</v>
      </c>
      <c r="B37" s="179">
        <v>35462.33</v>
      </c>
      <c r="C37" s="179">
        <v>59831.05</v>
      </c>
      <c r="D37" s="179">
        <v>6928.9</v>
      </c>
      <c r="E37" s="179">
        <v>33126.720000000001</v>
      </c>
      <c r="F37" s="179">
        <v>60113.25</v>
      </c>
      <c r="G37" s="180">
        <f t="shared" si="2"/>
        <v>1.9316842939639969E-4</v>
      </c>
      <c r="I37" s="182"/>
    </row>
    <row r="38" spans="1:10" s="181" customFormat="1" ht="12" x14ac:dyDescent="0.3">
      <c r="A38" s="178" t="s">
        <v>101</v>
      </c>
      <c r="B38" s="179">
        <v>-48194.44</v>
      </c>
      <c r="C38" s="179">
        <v>-46898.15</v>
      </c>
      <c r="D38" s="179">
        <v>-45462.96</v>
      </c>
      <c r="E38" s="179">
        <v>-44074.07</v>
      </c>
      <c r="F38" s="179">
        <v>-42638.89</v>
      </c>
      <c r="G38" s="180">
        <f t="shared" si="2"/>
        <v>-1.2674462871323504E-3</v>
      </c>
    </row>
    <row r="39" spans="1:10" s="38" customFormat="1" ht="13" x14ac:dyDescent="0.3">
      <c r="A39" s="72" t="s">
        <v>113</v>
      </c>
      <c r="B39" s="112">
        <f>SUM(B40:B42)</f>
        <v>1959959.6300000001</v>
      </c>
      <c r="C39" s="112">
        <f>SUM(C40:C42)</f>
        <v>1924952.14</v>
      </c>
      <c r="D39" s="112">
        <f t="shared" ref="D39:F39" si="6">SUM(D40:D42)</f>
        <v>1973882.46</v>
      </c>
      <c r="E39" s="112">
        <f t="shared" si="6"/>
        <v>1976020.43</v>
      </c>
      <c r="F39" s="112">
        <f t="shared" si="6"/>
        <v>2015768.21</v>
      </c>
      <c r="G39" s="113">
        <f t="shared" si="2"/>
        <v>5.5029192889391065E-2</v>
      </c>
    </row>
    <row r="40" spans="1:10" s="181" customFormat="1" ht="12" x14ac:dyDescent="0.3">
      <c r="A40" s="178" t="s">
        <v>26</v>
      </c>
      <c r="B40" s="179">
        <v>1955361.94</v>
      </c>
      <c r="C40" s="179">
        <v>1900730.38</v>
      </c>
      <c r="D40" s="179">
        <v>1923776.24</v>
      </c>
      <c r="E40" s="179">
        <v>1972086.5</v>
      </c>
      <c r="F40" s="179">
        <v>1987274.5</v>
      </c>
      <c r="G40" s="180">
        <f t="shared" si="2"/>
        <v>5.3632298747407423E-2</v>
      </c>
    </row>
    <row r="41" spans="1:10" s="181" customFormat="1" ht="12" x14ac:dyDescent="0.3">
      <c r="A41" s="178" t="s">
        <v>18</v>
      </c>
      <c r="B41" s="179">
        <v>24139.35</v>
      </c>
      <c r="C41" s="179">
        <v>43374.54</v>
      </c>
      <c r="D41" s="179">
        <v>68828.44</v>
      </c>
      <c r="E41" s="179">
        <v>22238.9</v>
      </c>
      <c r="F41" s="179">
        <v>46368.71</v>
      </c>
      <c r="G41" s="180">
        <f t="shared" si="2"/>
        <v>1.918844499502711E-3</v>
      </c>
    </row>
    <row r="42" spans="1:10" s="181" customFormat="1" ht="12" x14ac:dyDescent="0.3">
      <c r="A42" s="178" t="s">
        <v>101</v>
      </c>
      <c r="B42" s="179">
        <v>-19541.66</v>
      </c>
      <c r="C42" s="179">
        <v>-19152.78</v>
      </c>
      <c r="D42" s="179">
        <v>-18722.22</v>
      </c>
      <c r="E42" s="179">
        <v>-18304.97</v>
      </c>
      <c r="F42" s="179">
        <v>-17875</v>
      </c>
      <c r="G42" s="180">
        <f t="shared" si="2"/>
        <v>-5.2195035751906695E-4</v>
      </c>
    </row>
    <row r="43" spans="1:10" s="38" customFormat="1" ht="13" x14ac:dyDescent="0.3">
      <c r="A43" s="72" t="s">
        <v>114</v>
      </c>
      <c r="B43" s="112">
        <f>SUM(B44:B46)</f>
        <v>500703.63</v>
      </c>
      <c r="C43" s="112">
        <f>SUM(C44:C46)</f>
        <v>505077.39999999997</v>
      </c>
      <c r="D43" s="112">
        <f t="shared" ref="D43:F43" si="7">SUM(D44:D46)</f>
        <v>513530.51</v>
      </c>
      <c r="E43" s="112">
        <f t="shared" si="7"/>
        <v>502641.89999999997</v>
      </c>
      <c r="F43" s="112">
        <f t="shared" si="7"/>
        <v>507879.16</v>
      </c>
      <c r="G43" s="113">
        <f t="shared" si="2"/>
        <v>1.4316541162930931E-2</v>
      </c>
    </row>
    <row r="44" spans="1:10" s="181" customFormat="1" ht="12" x14ac:dyDescent="0.3">
      <c r="A44" s="178" t="s">
        <v>26</v>
      </c>
      <c r="B44" s="179">
        <v>500321.74</v>
      </c>
      <c r="C44" s="179">
        <v>500506.67</v>
      </c>
      <c r="D44" s="179">
        <v>501573.2</v>
      </c>
      <c r="E44" s="179">
        <v>502158.38</v>
      </c>
      <c r="F44" s="179">
        <v>501370.79</v>
      </c>
      <c r="G44" s="180">
        <f t="shared" si="2"/>
        <v>1.3983187413777983E-2</v>
      </c>
    </row>
    <row r="45" spans="1:10" s="181" customFormat="1" ht="12" x14ac:dyDescent="0.3">
      <c r="A45" s="178" t="s">
        <v>18</v>
      </c>
      <c r="B45" s="179">
        <v>5238.37</v>
      </c>
      <c r="C45" s="179">
        <v>9316.1</v>
      </c>
      <c r="D45" s="179">
        <v>16559.16</v>
      </c>
      <c r="E45" s="179">
        <v>4946.4799999999996</v>
      </c>
      <c r="F45" s="179">
        <v>10827.81</v>
      </c>
      <c r="G45" s="180">
        <f t="shared" si="2"/>
        <v>4.616471488004858E-4</v>
      </c>
    </row>
    <row r="46" spans="1:10" s="181" customFormat="1" ht="12" x14ac:dyDescent="0.3">
      <c r="A46" s="178" t="s">
        <v>101</v>
      </c>
      <c r="B46" s="179">
        <v>-4856.4799999999996</v>
      </c>
      <c r="C46" s="179">
        <v>-4745.37</v>
      </c>
      <c r="D46" s="179">
        <v>-4601.8500000000004</v>
      </c>
      <c r="E46" s="179">
        <v>-4462.96</v>
      </c>
      <c r="F46" s="179">
        <v>-4319.4399999999996</v>
      </c>
      <c r="G46" s="180">
        <f t="shared" si="2"/>
        <v>-1.2829339964753742E-4</v>
      </c>
    </row>
    <row r="47" spans="1:10" s="38" customFormat="1" ht="13" x14ac:dyDescent="0.3">
      <c r="A47" s="72" t="s">
        <v>126</v>
      </c>
      <c r="B47" s="112">
        <f>SUM(B48:B50)</f>
        <v>997171.13</v>
      </c>
      <c r="C47" s="112">
        <f>SUM(C48:C50)</f>
        <v>1001021.65</v>
      </c>
      <c r="D47" s="112">
        <f t="shared" ref="D47:F47" si="8">SUM(D48:D50)</f>
        <v>977467.05</v>
      </c>
      <c r="E47" s="112">
        <f t="shared" si="8"/>
        <v>956024.37</v>
      </c>
      <c r="F47" s="112">
        <f t="shared" si="8"/>
        <v>956998.84</v>
      </c>
      <c r="G47" s="113">
        <f t="shared" si="2"/>
        <v>2.725046902614154E-2</v>
      </c>
    </row>
    <row r="48" spans="1:10" s="181" customFormat="1" ht="12" x14ac:dyDescent="0.3">
      <c r="A48" s="178" t="s">
        <v>26</v>
      </c>
      <c r="B48" s="179">
        <v>994499.45</v>
      </c>
      <c r="C48" s="179">
        <v>991499.86</v>
      </c>
      <c r="D48" s="179">
        <v>963239.21</v>
      </c>
      <c r="E48" s="179">
        <v>955855.14</v>
      </c>
      <c r="F48" s="179">
        <v>949579.83</v>
      </c>
      <c r="G48" s="180">
        <f t="shared" si="2"/>
        <v>2.6853815948957097E-2</v>
      </c>
    </row>
    <row r="49" spans="1:7" s="181" customFormat="1" ht="12" x14ac:dyDescent="0.3">
      <c r="A49" s="178" t="s">
        <v>18</v>
      </c>
      <c r="B49" s="179">
        <v>4618.8999999999996</v>
      </c>
      <c r="C49" s="179">
        <v>11391.23</v>
      </c>
      <c r="D49" s="179">
        <v>16011.17</v>
      </c>
      <c r="E49" s="179">
        <v>1869.23</v>
      </c>
      <c r="F49" s="179">
        <v>9032.9</v>
      </c>
      <c r="G49" s="180">
        <f t="shared" si="2"/>
        <v>4.4636992332098213E-4</v>
      </c>
    </row>
    <row r="50" spans="1:7" s="181" customFormat="1" ht="12" x14ac:dyDescent="0.3">
      <c r="A50" s="178" t="s">
        <v>101</v>
      </c>
      <c r="B50" s="179">
        <v>-1947.22</v>
      </c>
      <c r="C50" s="179">
        <v>-1869.44</v>
      </c>
      <c r="D50" s="179">
        <v>-1783.33</v>
      </c>
      <c r="E50" s="179">
        <v>-1700</v>
      </c>
      <c r="F50" s="179">
        <v>-1613.89</v>
      </c>
      <c r="G50" s="180">
        <f t="shared" si="2"/>
        <v>-4.9716846136541363E-5</v>
      </c>
    </row>
    <row r="51" spans="1:7" s="38" customFormat="1" ht="13" x14ac:dyDescent="0.3">
      <c r="A51" s="72" t="s">
        <v>134</v>
      </c>
      <c r="B51" s="112">
        <f>SUM(B52:B54)</f>
        <v>0</v>
      </c>
      <c r="C51" s="112">
        <f>SUM(C52:C54)</f>
        <v>833584.39</v>
      </c>
      <c r="D51" s="112">
        <f t="shared" ref="D51:F51" si="9">SUM(D52:D54)</f>
        <v>841166.17999999993</v>
      </c>
      <c r="E51" s="112">
        <f t="shared" si="9"/>
        <v>848340.80999999994</v>
      </c>
      <c r="F51" s="112">
        <f t="shared" si="9"/>
        <v>834754.61</v>
      </c>
      <c r="G51" s="113">
        <f t="shared" si="2"/>
        <v>2.3450583765384003E-2</v>
      </c>
    </row>
    <row r="52" spans="1:7" s="181" customFormat="1" ht="12" x14ac:dyDescent="0.3">
      <c r="A52" s="178" t="s">
        <v>26</v>
      </c>
      <c r="B52" s="179">
        <v>0</v>
      </c>
      <c r="C52" s="179">
        <v>840000</v>
      </c>
      <c r="D52" s="179">
        <v>840000</v>
      </c>
      <c r="E52" s="179">
        <v>840000</v>
      </c>
      <c r="F52" s="179">
        <v>840000</v>
      </c>
      <c r="G52" s="180">
        <f t="shared" si="2"/>
        <v>2.3418072232674125E-2</v>
      </c>
    </row>
    <row r="53" spans="1:7" s="181" customFormat="1" ht="12" x14ac:dyDescent="0.3">
      <c r="A53" s="178" t="s">
        <v>18</v>
      </c>
      <c r="B53" s="179">
        <v>0</v>
      </c>
      <c r="C53" s="179">
        <v>1932</v>
      </c>
      <c r="D53" s="179">
        <v>9333.33</v>
      </c>
      <c r="E53" s="179">
        <v>16333.33</v>
      </c>
      <c r="F53" s="179">
        <v>2566.67</v>
      </c>
      <c r="G53" s="180">
        <f t="shared" si="2"/>
        <v>2.6020070965641001E-4</v>
      </c>
    </row>
    <row r="54" spans="1:7" s="181" customFormat="1" ht="12" x14ac:dyDescent="0.3">
      <c r="A54" s="178" t="s">
        <v>101</v>
      </c>
      <c r="B54" s="179">
        <v>0</v>
      </c>
      <c r="C54" s="179">
        <v>-8347.61</v>
      </c>
      <c r="D54" s="179">
        <v>-8167.15</v>
      </c>
      <c r="E54" s="179">
        <v>-7992.52</v>
      </c>
      <c r="F54" s="179">
        <v>-7812.06</v>
      </c>
      <c r="G54" s="180">
        <f t="shared" si="2"/>
        <v>-2.2768917694652915E-4</v>
      </c>
    </row>
    <row r="55" spans="1:7" s="38" customFormat="1" ht="13" x14ac:dyDescent="0.3">
      <c r="A55" s="72" t="s">
        <v>150</v>
      </c>
      <c r="B55" s="112">
        <f>SUM(B56:B58)</f>
        <v>0</v>
      </c>
      <c r="C55" s="112">
        <f>SUM(C56:C58)</f>
        <v>0</v>
      </c>
      <c r="D55" s="112">
        <f t="shared" ref="D55:F55" si="10">SUM(D56:D58)</f>
        <v>1885439.9300000002</v>
      </c>
      <c r="E55" s="112">
        <f t="shared" si="10"/>
        <v>1900678.1800000002</v>
      </c>
      <c r="F55" s="112">
        <f t="shared" si="10"/>
        <v>1916424.31</v>
      </c>
      <c r="G55" s="113">
        <f t="shared" ref="G55:G87" si="11">+D55/$D$88</f>
        <v>5.2563533894176249E-2</v>
      </c>
    </row>
    <row r="56" spans="1:7" s="181" customFormat="1" ht="12" x14ac:dyDescent="0.3">
      <c r="A56" s="178" t="s">
        <v>26</v>
      </c>
      <c r="B56" s="179">
        <v>0</v>
      </c>
      <c r="C56" s="179">
        <v>0</v>
      </c>
      <c r="D56" s="179">
        <v>1900000</v>
      </c>
      <c r="E56" s="179">
        <v>1900000</v>
      </c>
      <c r="F56" s="179">
        <v>1900000</v>
      </c>
      <c r="G56" s="180">
        <f t="shared" si="11"/>
        <v>5.2969449097715282E-2</v>
      </c>
    </row>
    <row r="57" spans="1:7" s="181" customFormat="1" ht="12" x14ac:dyDescent="0.3">
      <c r="A57" s="178" t="s">
        <v>18</v>
      </c>
      <c r="B57" s="179">
        <v>0</v>
      </c>
      <c r="C57" s="179">
        <v>0</v>
      </c>
      <c r="D57" s="179">
        <v>2480.56</v>
      </c>
      <c r="E57" s="179">
        <v>17362.560000000001</v>
      </c>
      <c r="F57" s="179">
        <v>32740.560000000001</v>
      </c>
      <c r="G57" s="180">
        <f t="shared" si="11"/>
        <v>6.9154682449383485E-5</v>
      </c>
    </row>
    <row r="58" spans="1:7" s="181" customFormat="1" ht="12" x14ac:dyDescent="0.3">
      <c r="A58" s="178" t="s">
        <v>101</v>
      </c>
      <c r="B58" s="179">
        <v>0</v>
      </c>
      <c r="C58" s="179">
        <v>0</v>
      </c>
      <c r="D58" s="179">
        <v>-17040.63</v>
      </c>
      <c r="E58" s="179">
        <v>-16684.38</v>
      </c>
      <c r="F58" s="179">
        <v>-16316.25</v>
      </c>
      <c r="G58" s="180">
        <f t="shared" si="11"/>
        <v>-4.7506988598842108E-4</v>
      </c>
    </row>
    <row r="59" spans="1:7" s="38" customFormat="1" ht="13" x14ac:dyDescent="0.3">
      <c r="A59" s="72" t="s">
        <v>151</v>
      </c>
      <c r="B59" s="112">
        <f>SUM(B60:B62)</f>
        <v>0</v>
      </c>
      <c r="C59" s="112">
        <f>SUM(C60:C62)</f>
        <v>0</v>
      </c>
      <c r="D59" s="112">
        <f t="shared" ref="D59:F59" si="12">SUM(D60:D62)</f>
        <v>2796359.25</v>
      </c>
      <c r="E59" s="112">
        <f t="shared" si="12"/>
        <v>2827830.4200000004</v>
      </c>
      <c r="F59" s="112">
        <f t="shared" si="12"/>
        <v>2852474.91</v>
      </c>
      <c r="G59" s="113">
        <f t="shared" si="11"/>
        <v>7.7958741553579097E-2</v>
      </c>
    </row>
    <row r="60" spans="1:7" s="181" customFormat="1" ht="12" x14ac:dyDescent="0.3">
      <c r="A60" s="178" t="s">
        <v>26</v>
      </c>
      <c r="B60" s="179">
        <v>0</v>
      </c>
      <c r="C60" s="179">
        <v>0</v>
      </c>
      <c r="D60" s="179">
        <v>2799126</v>
      </c>
      <c r="E60" s="179">
        <v>2802391.72</v>
      </c>
      <c r="F60" s="179">
        <v>2797996.44</v>
      </c>
      <c r="G60" s="180">
        <f t="shared" si="11"/>
        <v>7.8035874828995475E-2</v>
      </c>
    </row>
    <row r="61" spans="1:7" s="181" customFormat="1" ht="12" x14ac:dyDescent="0.3">
      <c r="A61" s="178" t="s">
        <v>18</v>
      </c>
      <c r="B61" s="179">
        <v>0</v>
      </c>
      <c r="C61" s="179">
        <v>0</v>
      </c>
      <c r="D61" s="179">
        <v>5598.25</v>
      </c>
      <c r="E61" s="179">
        <v>33628.699999999997</v>
      </c>
      <c r="F61" s="179">
        <v>62487.64</v>
      </c>
      <c r="G61" s="180">
        <f t="shared" si="11"/>
        <v>1.560716939006761E-4</v>
      </c>
    </row>
    <row r="62" spans="1:7" s="181" customFormat="1" ht="12" x14ac:dyDescent="0.3">
      <c r="A62" s="178" t="s">
        <v>101</v>
      </c>
      <c r="B62" s="179">
        <v>0</v>
      </c>
      <c r="C62" s="179">
        <v>0</v>
      </c>
      <c r="D62" s="179">
        <v>-8365</v>
      </c>
      <c r="E62" s="179">
        <v>-8190</v>
      </c>
      <c r="F62" s="179">
        <v>-8009.17</v>
      </c>
      <c r="G62" s="180">
        <f t="shared" si="11"/>
        <v>-2.3320496931704651E-4</v>
      </c>
    </row>
    <row r="63" spans="1:7" s="38" customFormat="1" ht="13" x14ac:dyDescent="0.3">
      <c r="A63" s="72" t="s">
        <v>161</v>
      </c>
      <c r="B63" s="112">
        <f>SUM(B64:B66)</f>
        <v>0</v>
      </c>
      <c r="C63" s="112">
        <f>SUM(C64:C66)</f>
        <v>0</v>
      </c>
      <c r="D63" s="112">
        <f t="shared" ref="D63:F63" si="13">SUM(D64:D66)</f>
        <v>0</v>
      </c>
      <c r="E63" s="112">
        <f t="shared" si="13"/>
        <v>2060597.72</v>
      </c>
      <c r="F63" s="112">
        <f t="shared" si="13"/>
        <v>2097206.67</v>
      </c>
      <c r="G63" s="113">
        <f t="shared" si="11"/>
        <v>0</v>
      </c>
    </row>
    <row r="64" spans="1:7" s="181" customFormat="1" ht="12" x14ac:dyDescent="0.3">
      <c r="A64" s="178" t="s">
        <v>26</v>
      </c>
      <c r="B64" s="179">
        <v>0</v>
      </c>
      <c r="C64" s="179">
        <v>0</v>
      </c>
      <c r="D64" s="179">
        <v>0</v>
      </c>
      <c r="E64" s="179">
        <v>2050224.4</v>
      </c>
      <c r="F64" s="179">
        <v>2066014.18</v>
      </c>
      <c r="G64" s="180">
        <f t="shared" si="11"/>
        <v>0</v>
      </c>
    </row>
    <row r="65" spans="1:7" s="181" customFormat="1" ht="12" x14ac:dyDescent="0.3">
      <c r="A65" s="178" t="s">
        <v>18</v>
      </c>
      <c r="B65" s="179">
        <v>0</v>
      </c>
      <c r="C65" s="179">
        <v>0</v>
      </c>
      <c r="D65" s="179">
        <v>0</v>
      </c>
      <c r="E65" s="179">
        <v>16373.32</v>
      </c>
      <c r="F65" s="179">
        <v>36959.160000000003</v>
      </c>
      <c r="G65" s="180">
        <f t="shared" si="11"/>
        <v>0</v>
      </c>
    </row>
    <row r="66" spans="1:7" s="181" customFormat="1" ht="12" x14ac:dyDescent="0.3">
      <c r="A66" s="178" t="s">
        <v>101</v>
      </c>
      <c r="B66" s="179">
        <v>0</v>
      </c>
      <c r="C66" s="179">
        <v>0</v>
      </c>
      <c r="D66" s="179">
        <v>0</v>
      </c>
      <c r="E66" s="179">
        <v>-6000</v>
      </c>
      <c r="F66" s="179">
        <v>-5766.67</v>
      </c>
      <c r="G66" s="180">
        <f t="shared" si="11"/>
        <v>0</v>
      </c>
    </row>
    <row r="67" spans="1:7" s="38" customFormat="1" ht="13" x14ac:dyDescent="0.3">
      <c r="A67" s="72" t="s">
        <v>173</v>
      </c>
      <c r="B67" s="112">
        <f>SUM(B68:B70)</f>
        <v>0</v>
      </c>
      <c r="C67" s="112">
        <f>SUM(C68:C70)</f>
        <v>0</v>
      </c>
      <c r="D67" s="112">
        <f t="shared" ref="D67:F67" si="14">SUM(D68:D70)</f>
        <v>0</v>
      </c>
      <c r="E67" s="112">
        <f t="shared" si="14"/>
        <v>0</v>
      </c>
      <c r="F67" s="112">
        <f t="shared" si="14"/>
        <v>851394.03</v>
      </c>
      <c r="G67" s="113">
        <f t="shared" si="11"/>
        <v>0</v>
      </c>
    </row>
    <row r="68" spans="1:7" s="181" customFormat="1" ht="12" x14ac:dyDescent="0.3">
      <c r="A68" s="178" t="s">
        <v>26</v>
      </c>
      <c r="B68" s="179">
        <v>0</v>
      </c>
      <c r="C68" s="179">
        <v>0</v>
      </c>
      <c r="D68" s="179">
        <v>0</v>
      </c>
      <c r="E68" s="179">
        <v>0</v>
      </c>
      <c r="F68" s="179">
        <v>860000</v>
      </c>
      <c r="G68" s="180">
        <f t="shared" si="11"/>
        <v>0</v>
      </c>
    </row>
    <row r="69" spans="1:7" s="181" customFormat="1" ht="12" x14ac:dyDescent="0.3">
      <c r="A69" s="178" t="s">
        <v>18</v>
      </c>
      <c r="B69" s="179">
        <v>0</v>
      </c>
      <c r="C69" s="179">
        <v>0</v>
      </c>
      <c r="D69" s="179">
        <v>0</v>
      </c>
      <c r="E69" s="179">
        <v>0</v>
      </c>
      <c r="F69" s="179">
        <v>0</v>
      </c>
      <c r="G69" s="180">
        <f t="shared" si="11"/>
        <v>0</v>
      </c>
    </row>
    <row r="70" spans="1:7" s="181" customFormat="1" ht="12" x14ac:dyDescent="0.3">
      <c r="A70" s="178" t="s">
        <v>101</v>
      </c>
      <c r="B70" s="179">
        <v>0</v>
      </c>
      <c r="C70" s="179">
        <v>0</v>
      </c>
      <c r="D70" s="179">
        <v>0</v>
      </c>
      <c r="E70" s="179">
        <v>0</v>
      </c>
      <c r="F70" s="179">
        <v>-8605.9699999999993</v>
      </c>
      <c r="G70" s="180">
        <f t="shared" si="11"/>
        <v>0</v>
      </c>
    </row>
    <row r="71" spans="1:7" s="38" customFormat="1" ht="13" x14ac:dyDescent="0.3">
      <c r="A71" s="72" t="s">
        <v>174</v>
      </c>
      <c r="B71" s="112">
        <f>SUM(B72:B74)</f>
        <v>0</v>
      </c>
      <c r="C71" s="112">
        <f>SUM(C72:C74)</f>
        <v>0</v>
      </c>
      <c r="D71" s="112">
        <f t="shared" ref="D71:F71" si="15">SUM(D72:D74)</f>
        <v>0</v>
      </c>
      <c r="E71" s="112">
        <f t="shared" si="15"/>
        <v>0</v>
      </c>
      <c r="F71" s="112">
        <f t="shared" si="15"/>
        <v>299732.33</v>
      </c>
      <c r="G71" s="113">
        <f t="shared" si="11"/>
        <v>0</v>
      </c>
    </row>
    <row r="72" spans="1:7" s="181" customFormat="1" ht="12" x14ac:dyDescent="0.3">
      <c r="A72" s="178" t="s">
        <v>26</v>
      </c>
      <c r="B72" s="179">
        <v>0</v>
      </c>
      <c r="C72" s="179">
        <v>0</v>
      </c>
      <c r="D72" s="179">
        <v>0</v>
      </c>
      <c r="E72" s="179">
        <v>0</v>
      </c>
      <c r="F72" s="179">
        <v>300000</v>
      </c>
      <c r="G72" s="180">
        <f t="shared" si="11"/>
        <v>0</v>
      </c>
    </row>
    <row r="73" spans="1:7" s="181" customFormat="1" ht="12" x14ac:dyDescent="0.3">
      <c r="A73" s="178" t="s">
        <v>18</v>
      </c>
      <c r="B73" s="179">
        <v>0</v>
      </c>
      <c r="C73" s="179">
        <v>0</v>
      </c>
      <c r="D73" s="179">
        <v>0</v>
      </c>
      <c r="E73" s="179">
        <v>0</v>
      </c>
      <c r="F73" s="179">
        <v>329</v>
      </c>
      <c r="G73" s="180">
        <f t="shared" si="11"/>
        <v>0</v>
      </c>
    </row>
    <row r="74" spans="1:7" s="181" customFormat="1" ht="12" x14ac:dyDescent="0.3">
      <c r="A74" s="178" t="s">
        <v>101</v>
      </c>
      <c r="B74" s="179">
        <v>0</v>
      </c>
      <c r="C74" s="179">
        <v>0</v>
      </c>
      <c r="D74" s="179">
        <v>0</v>
      </c>
      <c r="E74" s="179">
        <v>0</v>
      </c>
      <c r="F74" s="179">
        <v>-596.66999999999996</v>
      </c>
      <c r="G74" s="180">
        <f t="shared" si="11"/>
        <v>0</v>
      </c>
    </row>
    <row r="75" spans="1:7" s="38" customFormat="1" ht="13" x14ac:dyDescent="0.3">
      <c r="A75" s="72" t="s">
        <v>175</v>
      </c>
      <c r="B75" s="112">
        <f>SUM(B76:B78)</f>
        <v>0</v>
      </c>
      <c r="C75" s="112">
        <f>SUM(C76:C78)</f>
        <v>0</v>
      </c>
      <c r="D75" s="112">
        <f t="shared" ref="D75:E75" si="16">SUM(D76:D78)</f>
        <v>0</v>
      </c>
      <c r="E75" s="112">
        <f t="shared" si="16"/>
        <v>0</v>
      </c>
      <c r="F75" s="112">
        <f>SUM(F76:F78)</f>
        <v>2571326.7599999998</v>
      </c>
      <c r="G75" s="113">
        <f t="shared" si="11"/>
        <v>0</v>
      </c>
    </row>
    <row r="76" spans="1:7" s="181" customFormat="1" ht="12" x14ac:dyDescent="0.3">
      <c r="A76" s="178" t="s">
        <v>26</v>
      </c>
      <c r="B76" s="179">
        <v>0</v>
      </c>
      <c r="C76" s="179">
        <v>0</v>
      </c>
      <c r="D76" s="179">
        <v>0</v>
      </c>
      <c r="E76" s="179">
        <v>0</v>
      </c>
      <c r="F76" s="179">
        <v>2597326.7599999998</v>
      </c>
      <c r="G76" s="180">
        <f t="shared" si="11"/>
        <v>0</v>
      </c>
    </row>
    <row r="77" spans="1:7" s="181" customFormat="1" ht="12" x14ac:dyDescent="0.3">
      <c r="A77" s="178" t="s">
        <v>18</v>
      </c>
      <c r="B77" s="179">
        <v>0</v>
      </c>
      <c r="C77" s="179">
        <v>0</v>
      </c>
      <c r="D77" s="179">
        <v>0</v>
      </c>
      <c r="E77" s="179">
        <v>0</v>
      </c>
      <c r="F77" s="179">
        <v>0</v>
      </c>
      <c r="G77" s="180">
        <f t="shared" si="11"/>
        <v>0</v>
      </c>
    </row>
    <row r="78" spans="1:7" s="181" customFormat="1" ht="12" x14ac:dyDescent="0.3">
      <c r="A78" s="178" t="s">
        <v>101</v>
      </c>
      <c r="B78" s="179">
        <v>0</v>
      </c>
      <c r="C78" s="179">
        <v>0</v>
      </c>
      <c r="D78" s="179">
        <v>0</v>
      </c>
      <c r="E78" s="179">
        <v>0</v>
      </c>
      <c r="F78" s="179">
        <v>-26000</v>
      </c>
      <c r="G78" s="180">
        <f t="shared" si="11"/>
        <v>0</v>
      </c>
    </row>
    <row r="79" spans="1:7" s="38" customFormat="1" ht="13" x14ac:dyDescent="0.3">
      <c r="A79" s="72" t="s">
        <v>176</v>
      </c>
      <c r="B79" s="112">
        <f>SUM(B80:B82)</f>
        <v>0</v>
      </c>
      <c r="C79" s="112">
        <f>SUM(C80:C82)</f>
        <v>0</v>
      </c>
      <c r="D79" s="112">
        <f t="shared" ref="D79:F79" si="17">SUM(D80:D82)</f>
        <v>0</v>
      </c>
      <c r="E79" s="112">
        <f t="shared" si="17"/>
        <v>0</v>
      </c>
      <c r="F79" s="112">
        <f t="shared" si="17"/>
        <v>1701334.9100000001</v>
      </c>
      <c r="G79" s="113">
        <f t="shared" si="11"/>
        <v>0</v>
      </c>
    </row>
    <row r="80" spans="1:7" s="181" customFormat="1" ht="12" x14ac:dyDescent="0.3">
      <c r="A80" s="178" t="s">
        <v>26</v>
      </c>
      <c r="B80" s="179">
        <v>0</v>
      </c>
      <c r="C80" s="179">
        <v>0</v>
      </c>
      <c r="D80" s="179">
        <v>0</v>
      </c>
      <c r="E80" s="179">
        <v>0</v>
      </c>
      <c r="F80" s="179">
        <v>1702301.42</v>
      </c>
      <c r="G80" s="180">
        <f t="shared" si="11"/>
        <v>0</v>
      </c>
    </row>
    <row r="81" spans="1:9" s="181" customFormat="1" ht="12" x14ac:dyDescent="0.3">
      <c r="A81" s="178" t="s">
        <v>18</v>
      </c>
      <c r="B81" s="179">
        <v>0</v>
      </c>
      <c r="C81" s="179">
        <v>0</v>
      </c>
      <c r="D81" s="179">
        <v>0</v>
      </c>
      <c r="E81" s="179">
        <v>0</v>
      </c>
      <c r="F81" s="179">
        <v>14110.37</v>
      </c>
      <c r="G81" s="180">
        <f t="shared" si="11"/>
        <v>0</v>
      </c>
    </row>
    <row r="82" spans="1:9" s="181" customFormat="1" ht="12" x14ac:dyDescent="0.3">
      <c r="A82" s="178" t="s">
        <v>101</v>
      </c>
      <c r="B82" s="179">
        <v>0</v>
      </c>
      <c r="C82" s="179">
        <v>0</v>
      </c>
      <c r="D82" s="179">
        <v>0</v>
      </c>
      <c r="E82" s="179">
        <v>0</v>
      </c>
      <c r="F82" s="179">
        <v>-15076.88</v>
      </c>
      <c r="G82" s="180">
        <f t="shared" si="11"/>
        <v>0</v>
      </c>
    </row>
    <row r="83" spans="1:9" s="38" customFormat="1" ht="13" x14ac:dyDescent="0.3">
      <c r="A83" s="72" t="s">
        <v>177</v>
      </c>
      <c r="B83" s="112">
        <f>SUM(B84:B86)</f>
        <v>0</v>
      </c>
      <c r="C83" s="112">
        <f>SUM(C84:C86)</f>
        <v>0</v>
      </c>
      <c r="D83" s="112">
        <f t="shared" ref="D83:F83" si="18">SUM(D84:D86)</f>
        <v>0</v>
      </c>
      <c r="E83" s="112">
        <f t="shared" si="18"/>
        <v>0</v>
      </c>
      <c r="F83" s="112">
        <f t="shared" si="18"/>
        <v>497298.55</v>
      </c>
      <c r="G83" s="113">
        <f t="shared" si="11"/>
        <v>0</v>
      </c>
    </row>
    <row r="84" spans="1:9" s="181" customFormat="1" ht="12" x14ac:dyDescent="0.3">
      <c r="A84" s="178" t="s">
        <v>26</v>
      </c>
      <c r="B84" s="179">
        <v>0</v>
      </c>
      <c r="C84" s="179">
        <v>0</v>
      </c>
      <c r="D84" s="179">
        <v>0</v>
      </c>
      <c r="E84" s="179">
        <v>0</v>
      </c>
      <c r="F84" s="179">
        <v>499808.97</v>
      </c>
      <c r="G84" s="180">
        <f t="shared" si="11"/>
        <v>0</v>
      </c>
    </row>
    <row r="85" spans="1:9" s="181" customFormat="1" ht="12" x14ac:dyDescent="0.3">
      <c r="A85" s="178" t="s">
        <v>18</v>
      </c>
      <c r="B85" s="179">
        <v>0</v>
      </c>
      <c r="C85" s="179">
        <v>0</v>
      </c>
      <c r="D85" s="179">
        <v>0</v>
      </c>
      <c r="E85" s="179">
        <v>0</v>
      </c>
      <c r="F85" s="179">
        <v>0</v>
      </c>
      <c r="G85" s="180">
        <f t="shared" si="11"/>
        <v>0</v>
      </c>
    </row>
    <row r="86" spans="1:9" s="181" customFormat="1" ht="12" x14ac:dyDescent="0.3">
      <c r="A86" s="178" t="s">
        <v>101</v>
      </c>
      <c r="B86" s="179">
        <v>0</v>
      </c>
      <c r="C86" s="179">
        <v>0</v>
      </c>
      <c r="D86" s="179">
        <v>0</v>
      </c>
      <c r="E86" s="179">
        <v>0</v>
      </c>
      <c r="F86" s="179">
        <v>-2510.42</v>
      </c>
      <c r="G86" s="180">
        <f t="shared" si="11"/>
        <v>0</v>
      </c>
    </row>
    <row r="87" spans="1:9" s="22" customFormat="1" x14ac:dyDescent="0.3">
      <c r="A87" s="50" t="s">
        <v>16</v>
      </c>
      <c r="B87" s="11">
        <v>236790</v>
      </c>
      <c r="C87" s="11">
        <v>111984.51999999999</v>
      </c>
      <c r="D87" s="11">
        <v>0</v>
      </c>
      <c r="E87" s="11">
        <f>276254.8+1993</f>
        <v>278247.8</v>
      </c>
      <c r="F87" s="11">
        <v>140316.01999999999</v>
      </c>
      <c r="G87" s="18">
        <f t="shared" si="11"/>
        <v>0</v>
      </c>
      <c r="H87" s="38"/>
      <c r="I87" s="109"/>
    </row>
    <row r="88" spans="1:9" x14ac:dyDescent="0.3">
      <c r="A88" s="16" t="s">
        <v>3</v>
      </c>
      <c r="B88" s="126">
        <f>+B87+B7+B12</f>
        <v>24174207.080000002</v>
      </c>
      <c r="C88" s="126">
        <f>+C87+C7+C12</f>
        <v>27919110.959999997</v>
      </c>
      <c r="D88" s="126">
        <f>+D87+D7+D12</f>
        <v>35869733.070000008</v>
      </c>
      <c r="E88" s="126">
        <f>+E87+E7+E12</f>
        <v>44819118.560000002</v>
      </c>
      <c r="F88" s="126">
        <f>+F87+F7+F12</f>
        <v>44941407.57</v>
      </c>
      <c r="G88" s="17">
        <f>+D88/D88</f>
        <v>1</v>
      </c>
      <c r="H88" s="76"/>
    </row>
    <row r="89" spans="1:9" x14ac:dyDescent="0.3">
      <c r="A89" s="3"/>
      <c r="B89" s="65"/>
      <c r="C89" s="65"/>
      <c r="D89" s="65"/>
      <c r="E89" s="65"/>
      <c r="F89" s="65"/>
      <c r="G89" s="95"/>
      <c r="H89" s="76"/>
    </row>
    <row r="90" spans="1:9" x14ac:dyDescent="0.3">
      <c r="A90" s="77" t="s">
        <v>4</v>
      </c>
      <c r="B90" s="11"/>
      <c r="C90" s="11"/>
      <c r="D90" s="11"/>
      <c r="E90" s="11"/>
      <c r="F90" s="11"/>
      <c r="G90" s="18"/>
    </row>
    <row r="91" spans="1:9" x14ac:dyDescent="0.3">
      <c r="A91" s="78"/>
      <c r="B91" s="11"/>
      <c r="C91" s="11"/>
      <c r="D91" s="11"/>
      <c r="E91" s="11"/>
      <c r="F91" s="11"/>
      <c r="G91" s="18"/>
      <c r="H91" s="59"/>
    </row>
    <row r="92" spans="1:9" x14ac:dyDescent="0.3">
      <c r="A92" s="79" t="s">
        <v>19</v>
      </c>
      <c r="B92" s="11"/>
      <c r="C92" s="11"/>
      <c r="D92" s="11"/>
      <c r="E92" s="11"/>
      <c r="F92" s="11"/>
      <c r="G92" s="18"/>
    </row>
    <row r="93" spans="1:9" s="38" customFormat="1" x14ac:dyDescent="0.3">
      <c r="A93" s="78" t="s">
        <v>17</v>
      </c>
      <c r="B93" s="11">
        <f>+SUM(B94:B102)</f>
        <v>44126.15</v>
      </c>
      <c r="C93" s="11">
        <f>+SUM(C94:C102)</f>
        <v>56783.92</v>
      </c>
      <c r="D93" s="11">
        <f>+SUM(D94:D102)</f>
        <v>62965.65</v>
      </c>
      <c r="E93" s="11">
        <f>+SUM(E94:E102)</f>
        <v>55610.07</v>
      </c>
      <c r="F93" s="11">
        <f>+SUM(F94:F102)</f>
        <v>51678.969999999994</v>
      </c>
      <c r="G93" s="18">
        <f>+D93/D145</f>
        <v>1.7553977855681879E-3</v>
      </c>
    </row>
    <row r="94" spans="1:9" s="38" customFormat="1" ht="13" x14ac:dyDescent="0.3">
      <c r="A94" s="10" t="s">
        <v>77</v>
      </c>
      <c r="B94" s="124">
        <f>14900+2686.67</f>
        <v>17586.669999999998</v>
      </c>
      <c r="C94" s="124">
        <v>20273.34</v>
      </c>
      <c r="D94" s="124">
        <v>21000.01</v>
      </c>
      <c r="E94" s="124">
        <v>23686.68</v>
      </c>
      <c r="F94" s="124">
        <v>16373.35</v>
      </c>
      <c r="G94" s="61">
        <f t="shared" ref="G94:G100" si="19">D94/$D$145</f>
        <v>5.8545208460342743E-4</v>
      </c>
      <c r="I94" s="148"/>
    </row>
    <row r="95" spans="1:9" s="38" customFormat="1" ht="13" x14ac:dyDescent="0.3">
      <c r="A95" s="72" t="s">
        <v>51</v>
      </c>
      <c r="B95" s="124">
        <v>0</v>
      </c>
      <c r="C95" s="124">
        <v>750</v>
      </c>
      <c r="D95" s="124">
        <v>2250</v>
      </c>
      <c r="E95" s="124">
        <v>0</v>
      </c>
      <c r="F95" s="124">
        <v>1000</v>
      </c>
      <c r="G95" s="61">
        <f t="shared" si="19"/>
        <v>6.2726979194662849E-5</v>
      </c>
    </row>
    <row r="96" spans="1:9" s="38" customFormat="1" ht="13" x14ac:dyDescent="0.3">
      <c r="A96" s="72" t="s">
        <v>66</v>
      </c>
      <c r="B96" s="124">
        <v>0</v>
      </c>
      <c r="C96" s="124">
        <v>0</v>
      </c>
      <c r="D96" s="124"/>
      <c r="E96" s="124">
        <v>0</v>
      </c>
      <c r="F96" s="124">
        <v>0</v>
      </c>
      <c r="G96" s="61">
        <f t="shared" si="19"/>
        <v>0</v>
      </c>
    </row>
    <row r="97" spans="1:15" s="38" customFormat="1" ht="13" x14ac:dyDescent="0.3">
      <c r="A97" s="72" t="s">
        <v>122</v>
      </c>
      <c r="B97" s="124">
        <f>20555.56+430.56+430.56+8611.11-6708.33-0.29</f>
        <v>23319.170000000006</v>
      </c>
      <c r="C97" s="124">
        <v>27305.58</v>
      </c>
      <c r="D97" s="124">
        <v>7058.37</v>
      </c>
      <c r="E97" s="124">
        <v>18266.71</v>
      </c>
      <c r="F97" s="124">
        <v>27222.27</v>
      </c>
      <c r="G97" s="61">
        <f t="shared" si="19"/>
        <v>1.9677787917254773E-4</v>
      </c>
    </row>
    <row r="98" spans="1:15" s="38" customFormat="1" ht="13" x14ac:dyDescent="0.3">
      <c r="A98" s="10" t="s">
        <v>67</v>
      </c>
      <c r="B98" s="124">
        <v>1553.64</v>
      </c>
      <c r="C98" s="124">
        <f>5297.66-176</f>
        <v>5121.66</v>
      </c>
      <c r="D98" s="124">
        <v>0</v>
      </c>
      <c r="E98" s="124">
        <v>7990</v>
      </c>
      <c r="F98" s="124">
        <v>0</v>
      </c>
      <c r="G98" s="61">
        <f t="shared" si="19"/>
        <v>0</v>
      </c>
    </row>
    <row r="99" spans="1:15" s="38" customFormat="1" ht="13" x14ac:dyDescent="0.3">
      <c r="A99" s="10" t="s">
        <v>78</v>
      </c>
      <c r="B99" s="124">
        <v>0</v>
      </c>
      <c r="C99" s="124">
        <v>0</v>
      </c>
      <c r="D99" s="124">
        <f>35397.26-6990</f>
        <v>28407.260000000002</v>
      </c>
      <c r="E99" s="124">
        <v>0</v>
      </c>
      <c r="F99" s="124">
        <v>0</v>
      </c>
      <c r="G99" s="61">
        <f t="shared" si="19"/>
        <v>7.9195626977661263E-4</v>
      </c>
      <c r="H99" s="46"/>
      <c r="I99" s="104"/>
    </row>
    <row r="100" spans="1:15" s="38" customFormat="1" ht="13" x14ac:dyDescent="0.3">
      <c r="A100" s="10" t="s">
        <v>132</v>
      </c>
      <c r="B100" s="124">
        <v>1666.67</v>
      </c>
      <c r="C100" s="124">
        <v>3333.34</v>
      </c>
      <c r="D100" s="124">
        <v>4250.01</v>
      </c>
      <c r="E100" s="124">
        <v>5666.68</v>
      </c>
      <c r="F100" s="124">
        <v>7083.35</v>
      </c>
      <c r="G100" s="61">
        <f t="shared" si="19"/>
        <v>1.1848457282093737E-4</v>
      </c>
    </row>
    <row r="101" spans="1:15" s="38" customFormat="1" ht="13" x14ac:dyDescent="0.3">
      <c r="A101" s="10" t="s">
        <v>84</v>
      </c>
      <c r="B101" s="124">
        <v>0</v>
      </c>
      <c r="C101" s="124">
        <v>0</v>
      </c>
      <c r="D101" s="124">
        <v>0</v>
      </c>
      <c r="E101" s="124">
        <v>0</v>
      </c>
      <c r="F101" s="124">
        <v>0</v>
      </c>
      <c r="G101" s="61">
        <f>B101/$B$145</f>
        <v>0</v>
      </c>
      <c r="H101" s="44"/>
    </row>
    <row r="102" spans="1:15" s="38" customFormat="1" ht="13" x14ac:dyDescent="0.3">
      <c r="A102" s="10" t="s">
        <v>75</v>
      </c>
      <c r="B102" s="124">
        <v>0</v>
      </c>
      <c r="C102" s="124">
        <v>0</v>
      </c>
      <c r="D102" s="124">
        <v>0</v>
      </c>
      <c r="E102" s="124">
        <v>0</v>
      </c>
      <c r="F102" s="124">
        <v>0</v>
      </c>
      <c r="G102" s="61">
        <f>B102/$B$145</f>
        <v>0</v>
      </c>
      <c r="J102" s="96"/>
    </row>
    <row r="103" spans="1:15" s="38" customFormat="1" ht="13" x14ac:dyDescent="0.3">
      <c r="B103" s="124"/>
      <c r="C103" s="124"/>
      <c r="D103" s="124"/>
      <c r="E103" s="124"/>
      <c r="F103" s="124"/>
      <c r="G103" s="61"/>
      <c r="J103" s="96"/>
    </row>
    <row r="104" spans="1:15" s="38" customFormat="1" x14ac:dyDescent="0.3">
      <c r="A104" s="155" t="s">
        <v>115</v>
      </c>
      <c r="B104" s="124"/>
      <c r="C104" s="124"/>
      <c r="D104" s="124"/>
      <c r="E104" s="124"/>
      <c r="F104" s="124"/>
      <c r="G104" s="61"/>
      <c r="I104" s="148"/>
      <c r="J104" s="96"/>
    </row>
    <row r="105" spans="1:15" s="38" customFormat="1" ht="13" x14ac:dyDescent="0.3">
      <c r="B105" s="124"/>
      <c r="C105" s="124"/>
      <c r="D105" s="124"/>
      <c r="E105" s="124"/>
      <c r="F105" s="124"/>
      <c r="G105" s="61"/>
      <c r="J105" s="96"/>
    </row>
    <row r="106" spans="1:15" s="160" customFormat="1" ht="14.5" x14ac:dyDescent="0.35">
      <c r="A106" s="156" t="s">
        <v>61</v>
      </c>
      <c r="B106" s="41">
        <f>+B107+B113+B110</f>
        <v>13094888.890000001</v>
      </c>
      <c r="C106" s="41">
        <f>+C107+C113+C110</f>
        <v>13090066.84</v>
      </c>
      <c r="D106" s="41">
        <f>+D107+D113+D110+D116</f>
        <v>21219420.84</v>
      </c>
      <c r="E106" s="41">
        <f>+E107+E113+E110+E116+E119+E122</f>
        <v>30129072.34</v>
      </c>
      <c r="F106" s="41">
        <f>+F107+F113+F110+F116+F119+F122</f>
        <v>30273207.900000002</v>
      </c>
      <c r="G106" s="157">
        <f>+D106/D145</f>
        <v>0.59156896424598904</v>
      </c>
      <c r="H106" s="158"/>
      <c r="I106" s="159"/>
      <c r="J106" s="159"/>
      <c r="K106" s="159"/>
      <c r="L106" s="149"/>
      <c r="M106" s="38"/>
      <c r="N106" s="38"/>
      <c r="O106" s="96"/>
    </row>
    <row r="107" spans="1:15" s="160" customFormat="1" ht="13" x14ac:dyDescent="0.3">
      <c r="A107" s="160" t="s">
        <v>60</v>
      </c>
      <c r="B107" s="41">
        <f>+B108+B109</f>
        <v>5036555.5544444444</v>
      </c>
      <c r="C107" s="41">
        <f>+C108+C109</f>
        <v>5058333.4400000004</v>
      </c>
      <c r="D107" s="41">
        <f>+D108+D109</f>
        <v>5082444.4400000004</v>
      </c>
      <c r="E107" s="41">
        <f>+E108+E109</f>
        <v>5105777.9400000004</v>
      </c>
      <c r="F107" s="41">
        <f>+F108+F109</f>
        <v>5129888.9400000004</v>
      </c>
      <c r="G107" s="157">
        <f t="shared" ref="G107:G124" si="20">+D107/$D$145</f>
        <v>0.14169172739818217</v>
      </c>
      <c r="H107" s="158"/>
      <c r="I107" s="159"/>
      <c r="J107" s="159"/>
      <c r="K107" s="159"/>
      <c r="L107" s="149"/>
      <c r="M107" s="38"/>
      <c r="N107" s="38"/>
    </row>
    <row r="108" spans="1:15" s="160" customFormat="1" ht="13" x14ac:dyDescent="0.3">
      <c r="A108" s="161" t="s">
        <v>26</v>
      </c>
      <c r="B108" s="49">
        <v>5000000</v>
      </c>
      <c r="C108" s="49">
        <v>5000000</v>
      </c>
      <c r="D108" s="49">
        <v>5000000</v>
      </c>
      <c r="E108" s="49">
        <v>5000000</v>
      </c>
      <c r="F108" s="49">
        <v>5000000</v>
      </c>
      <c r="G108" s="52">
        <f t="shared" si="20"/>
        <v>0.13939328709925078</v>
      </c>
      <c r="H108" s="162"/>
      <c r="I108" s="47"/>
      <c r="J108" s="47"/>
      <c r="K108" s="47"/>
      <c r="L108" s="108"/>
      <c r="M108" s="38"/>
      <c r="N108" s="38"/>
    </row>
    <row r="109" spans="1:15" s="160" customFormat="1" ht="13" x14ac:dyDescent="0.3">
      <c r="A109" s="161" t="s">
        <v>18</v>
      </c>
      <c r="B109" s="49">
        <f>12444.4444444444+24111.11</f>
        <v>36555.554444444402</v>
      </c>
      <c r="C109" s="49">
        <v>58333.440000000002</v>
      </c>
      <c r="D109" s="49">
        <v>82444.44</v>
      </c>
      <c r="E109" s="49">
        <v>105777.94</v>
      </c>
      <c r="F109" s="49">
        <v>129888.94</v>
      </c>
      <c r="G109" s="52">
        <f t="shared" si="20"/>
        <v>2.298440298931391E-3</v>
      </c>
      <c r="H109" s="162"/>
      <c r="I109" s="47"/>
      <c r="J109" s="47"/>
      <c r="K109" s="47"/>
      <c r="L109" s="108"/>
      <c r="M109" s="38"/>
      <c r="N109" s="38"/>
    </row>
    <row r="110" spans="1:15" s="160" customFormat="1" ht="13" x14ac:dyDescent="0.3">
      <c r="A110" s="160" t="s">
        <v>28</v>
      </c>
      <c r="B110" s="41">
        <f>+B111+B112</f>
        <v>5039666.6655555554</v>
      </c>
      <c r="C110" s="41">
        <f>+C111+C112</f>
        <v>5000000</v>
      </c>
      <c r="D110" s="41">
        <f>+D111+D112</f>
        <v>5023333.5</v>
      </c>
      <c r="E110" s="41">
        <f>+E111+E112</f>
        <v>5046667</v>
      </c>
      <c r="F110" s="41">
        <f>+F111+F112</f>
        <v>5070778</v>
      </c>
      <c r="G110" s="157">
        <f t="shared" si="20"/>
        <v>0.14004379375215684</v>
      </c>
      <c r="H110" s="158"/>
      <c r="I110" s="159"/>
      <c r="J110" s="159"/>
      <c r="K110" s="159"/>
      <c r="L110" s="149"/>
      <c r="M110" s="38"/>
      <c r="N110" s="38"/>
    </row>
    <row r="111" spans="1:15" s="160" customFormat="1" ht="13" x14ac:dyDescent="0.3">
      <c r="A111" s="161" t="s">
        <v>26</v>
      </c>
      <c r="B111" s="49">
        <v>5000000</v>
      </c>
      <c r="C111" s="49">
        <v>5000000</v>
      </c>
      <c r="D111" s="49">
        <v>5000000</v>
      </c>
      <c r="E111" s="49">
        <v>5000000</v>
      </c>
      <c r="F111" s="49">
        <v>5000000</v>
      </c>
      <c r="G111" s="52">
        <f t="shared" si="20"/>
        <v>0.13939328709925078</v>
      </c>
      <c r="H111" s="162"/>
      <c r="I111" s="47"/>
      <c r="J111" s="47"/>
      <c r="K111" s="47"/>
      <c r="L111" s="108"/>
      <c r="M111" s="38"/>
      <c r="N111" s="38"/>
    </row>
    <row r="112" spans="1:15" s="160" customFormat="1" ht="13" x14ac:dyDescent="0.3">
      <c r="A112" s="161" t="s">
        <v>18</v>
      </c>
      <c r="B112" s="49">
        <f>15555.5555555556+24111.11</f>
        <v>39666.665555555599</v>
      </c>
      <c r="C112" s="49">
        <v>0</v>
      </c>
      <c r="D112" s="49">
        <v>23333.5</v>
      </c>
      <c r="E112" s="49">
        <v>46667</v>
      </c>
      <c r="F112" s="49">
        <v>70778</v>
      </c>
      <c r="G112" s="52">
        <f t="shared" si="20"/>
        <v>6.5050665290607363E-4</v>
      </c>
      <c r="H112" s="162"/>
      <c r="I112" s="47"/>
      <c r="J112" s="47"/>
      <c r="K112" s="47"/>
      <c r="L112" s="108"/>
      <c r="M112" s="38"/>
      <c r="N112" s="38"/>
    </row>
    <row r="113" spans="1:14" s="160" customFormat="1" ht="13" x14ac:dyDescent="0.3">
      <c r="A113" s="160" t="s">
        <v>116</v>
      </c>
      <c r="B113" s="41">
        <f>+B114+B115</f>
        <v>3018666.67</v>
      </c>
      <c r="C113" s="41">
        <f>+C114+C115</f>
        <v>3031733.4</v>
      </c>
      <c r="D113" s="41">
        <f>+D114+D115</f>
        <v>3009800.1</v>
      </c>
      <c r="E113" s="41">
        <f>+E114+E115</f>
        <v>3023800.2</v>
      </c>
      <c r="F113" s="41">
        <f>+F114+F115</f>
        <v>3038266.8</v>
      </c>
      <c r="G113" s="157">
        <f t="shared" si="20"/>
        <v>8.3909185890130744E-2</v>
      </c>
      <c r="H113" s="158"/>
      <c r="I113" s="159"/>
      <c r="J113" s="159"/>
      <c r="K113" s="159"/>
      <c r="L113" s="149"/>
      <c r="M113" s="38"/>
      <c r="N113" s="38"/>
    </row>
    <row r="114" spans="1:14" s="160" customFormat="1" ht="13" x14ac:dyDescent="0.3">
      <c r="A114" s="161" t="s">
        <v>26</v>
      </c>
      <c r="B114" s="49">
        <v>3000000</v>
      </c>
      <c r="C114" s="49">
        <v>3000000</v>
      </c>
      <c r="D114" s="49">
        <v>3000000</v>
      </c>
      <c r="E114" s="49">
        <v>3000000</v>
      </c>
      <c r="F114" s="49">
        <v>3000000</v>
      </c>
      <c r="G114" s="52">
        <f t="shared" si="20"/>
        <v>8.3635972259550467E-2</v>
      </c>
      <c r="H114" s="162"/>
      <c r="I114" s="47"/>
      <c r="J114" s="47"/>
      <c r="K114" s="47"/>
      <c r="L114" s="108"/>
      <c r="M114" s="38"/>
      <c r="N114" s="38"/>
    </row>
    <row r="115" spans="1:14" s="160" customFormat="1" ht="13" x14ac:dyDescent="0.3">
      <c r="A115" s="161" t="s">
        <v>18</v>
      </c>
      <c r="B115" s="49">
        <f>4200+14466.67</f>
        <v>18666.669999999998</v>
      </c>
      <c r="C115" s="49">
        <v>31733.4</v>
      </c>
      <c r="D115" s="49">
        <v>9800.1</v>
      </c>
      <c r="E115" s="49">
        <v>23800.2</v>
      </c>
      <c r="F115" s="49">
        <v>38266.800000000003</v>
      </c>
      <c r="G115" s="52">
        <f t="shared" si="20"/>
        <v>2.732136305802735E-4</v>
      </c>
      <c r="H115" s="162"/>
      <c r="I115" s="47"/>
      <c r="J115" s="47"/>
      <c r="K115" s="47"/>
      <c r="L115" s="108"/>
      <c r="M115" s="38"/>
      <c r="N115" s="38"/>
    </row>
    <row r="116" spans="1:14" s="160" customFormat="1" ht="13" x14ac:dyDescent="0.3">
      <c r="A116" s="160" t="s">
        <v>15</v>
      </c>
      <c r="B116" s="41">
        <f>+B117+B118</f>
        <v>0</v>
      </c>
      <c r="C116" s="41">
        <f>+C117+C118</f>
        <v>0</v>
      </c>
      <c r="D116" s="41">
        <f>+D117+D118</f>
        <v>8103842.7999999998</v>
      </c>
      <c r="E116" s="41">
        <f>+E117+E118</f>
        <v>8141596.4000000004</v>
      </c>
      <c r="F116" s="41">
        <f>+F117+F118</f>
        <v>8180608</v>
      </c>
      <c r="G116" s="157">
        <f t="shared" si="20"/>
        <v>0.22592425720551926</v>
      </c>
      <c r="H116" s="158"/>
      <c r="I116" s="159"/>
      <c r="J116" s="159"/>
      <c r="K116" s="159"/>
      <c r="L116" s="149"/>
      <c r="M116" s="38"/>
      <c r="N116" s="38"/>
    </row>
    <row r="117" spans="1:14" s="160" customFormat="1" ht="13" x14ac:dyDescent="0.3">
      <c r="A117" s="161" t="s">
        <v>26</v>
      </c>
      <c r="B117" s="49">
        <v>0</v>
      </c>
      <c r="C117" s="49">
        <v>0</v>
      </c>
      <c r="D117" s="49">
        <v>8090000</v>
      </c>
      <c r="E117" s="49">
        <v>8090000</v>
      </c>
      <c r="F117" s="49">
        <v>8090000</v>
      </c>
      <c r="G117" s="52">
        <f t="shared" si="20"/>
        <v>0.22553833852658775</v>
      </c>
      <c r="H117" s="162"/>
      <c r="I117" s="47"/>
      <c r="J117" s="47"/>
      <c r="K117" s="47"/>
      <c r="L117" s="108"/>
      <c r="M117" s="38"/>
      <c r="N117" s="38"/>
    </row>
    <row r="118" spans="1:14" s="160" customFormat="1" ht="13" x14ac:dyDescent="0.3">
      <c r="A118" s="161" t="s">
        <v>18</v>
      </c>
      <c r="B118" s="49">
        <v>0</v>
      </c>
      <c r="C118" s="49">
        <v>0</v>
      </c>
      <c r="D118" s="49">
        <v>13842.8</v>
      </c>
      <c r="E118" s="49">
        <v>51596.4</v>
      </c>
      <c r="F118" s="49">
        <v>90608</v>
      </c>
      <c r="G118" s="52">
        <f t="shared" si="20"/>
        <v>3.8591867893150169E-4</v>
      </c>
      <c r="H118" s="162"/>
      <c r="I118" s="47"/>
      <c r="J118" s="47"/>
      <c r="K118" s="47"/>
      <c r="L118" s="108"/>
      <c r="M118" s="38"/>
      <c r="N118" s="38"/>
    </row>
    <row r="119" spans="1:14" s="160" customFormat="1" ht="13" x14ac:dyDescent="0.3">
      <c r="A119" s="160" t="s">
        <v>159</v>
      </c>
      <c r="B119" s="41">
        <f>+B120+B121</f>
        <v>0</v>
      </c>
      <c r="C119" s="41">
        <f>+C120+C121</f>
        <v>0</v>
      </c>
      <c r="D119" s="41">
        <f>+D120+D121</f>
        <v>0</v>
      </c>
      <c r="E119" s="41">
        <f>+E120+E121</f>
        <v>1802520</v>
      </c>
      <c r="F119" s="41">
        <f>+F120+F121</f>
        <v>1811199.96</v>
      </c>
      <c r="G119" s="157">
        <f t="shared" si="20"/>
        <v>0</v>
      </c>
      <c r="H119" s="158"/>
      <c r="I119" s="159"/>
      <c r="J119" s="159"/>
      <c r="K119" s="159"/>
      <c r="L119" s="149"/>
      <c r="M119" s="38"/>
      <c r="N119" s="38"/>
    </row>
    <row r="120" spans="1:14" s="160" customFormat="1" ht="13" x14ac:dyDescent="0.3">
      <c r="A120" s="161" t="s">
        <v>26</v>
      </c>
      <c r="B120" s="49">
        <v>0</v>
      </c>
      <c r="C120" s="49">
        <v>0</v>
      </c>
      <c r="D120" s="49">
        <v>0</v>
      </c>
      <c r="E120" s="49">
        <v>1800000</v>
      </c>
      <c r="F120" s="49">
        <v>1800000</v>
      </c>
      <c r="G120" s="52">
        <f t="shared" si="20"/>
        <v>0</v>
      </c>
      <c r="H120" s="162"/>
      <c r="I120" s="47"/>
      <c r="J120" s="47"/>
      <c r="K120" s="47"/>
      <c r="L120" s="108"/>
      <c r="M120" s="38"/>
      <c r="N120" s="38"/>
    </row>
    <row r="121" spans="1:14" s="160" customFormat="1" ht="13" x14ac:dyDescent="0.3">
      <c r="A121" s="161" t="s">
        <v>18</v>
      </c>
      <c r="B121" s="49">
        <v>0</v>
      </c>
      <c r="C121" s="49">
        <v>0</v>
      </c>
      <c r="D121" s="49">
        <v>0</v>
      </c>
      <c r="E121" s="49">
        <v>2520</v>
      </c>
      <c r="F121" s="49">
        <v>11199.96</v>
      </c>
      <c r="G121" s="52">
        <f t="shared" si="20"/>
        <v>0</v>
      </c>
      <c r="H121" s="162"/>
      <c r="I121" s="47"/>
      <c r="J121" s="47"/>
      <c r="K121" s="47"/>
      <c r="L121" s="108"/>
      <c r="M121" s="38"/>
      <c r="N121" s="38"/>
    </row>
    <row r="122" spans="1:14" s="160" customFormat="1" ht="13" x14ac:dyDescent="0.3">
      <c r="A122" s="160" t="s">
        <v>160</v>
      </c>
      <c r="B122" s="41">
        <f>+B123+B124</f>
        <v>0</v>
      </c>
      <c r="C122" s="41">
        <f>+C123+C124</f>
        <v>0</v>
      </c>
      <c r="D122" s="41">
        <f>+D123+D124</f>
        <v>0</v>
      </c>
      <c r="E122" s="41">
        <f>+E123+E124</f>
        <v>7008710.7999999998</v>
      </c>
      <c r="F122" s="41">
        <f>+F123+F124</f>
        <v>7042466.2000000002</v>
      </c>
      <c r="G122" s="157">
        <f t="shared" si="20"/>
        <v>0</v>
      </c>
      <c r="H122" s="158"/>
      <c r="I122" s="159"/>
      <c r="J122" s="159"/>
      <c r="K122" s="159"/>
      <c r="L122" s="149"/>
      <c r="M122" s="38"/>
      <c r="N122" s="38"/>
    </row>
    <row r="123" spans="1:14" s="160" customFormat="1" ht="13" x14ac:dyDescent="0.3">
      <c r="A123" s="161" t="s">
        <v>26</v>
      </c>
      <c r="B123" s="49">
        <v>0</v>
      </c>
      <c r="C123" s="49">
        <v>0</v>
      </c>
      <c r="D123" s="49">
        <v>0</v>
      </c>
      <c r="E123" s="49">
        <v>7000000</v>
      </c>
      <c r="F123" s="49">
        <v>7000000</v>
      </c>
      <c r="G123" s="52">
        <f t="shared" si="20"/>
        <v>0</v>
      </c>
      <c r="H123" s="162"/>
      <c r="I123" s="47"/>
      <c r="J123" s="47"/>
      <c r="K123" s="47"/>
      <c r="L123" s="108"/>
      <c r="M123" s="38"/>
      <c r="N123" s="38"/>
    </row>
    <row r="124" spans="1:14" s="160" customFormat="1" ht="13" x14ac:dyDescent="0.3">
      <c r="A124" s="161" t="s">
        <v>18</v>
      </c>
      <c r="B124" s="49">
        <v>0</v>
      </c>
      <c r="C124" s="49">
        <v>0</v>
      </c>
      <c r="D124" s="49">
        <v>0</v>
      </c>
      <c r="E124" s="49">
        <v>8710.7999999999993</v>
      </c>
      <c r="F124" s="49">
        <v>42466.2</v>
      </c>
      <c r="G124" s="52">
        <f t="shared" si="20"/>
        <v>0</v>
      </c>
      <c r="H124" s="162"/>
      <c r="I124" s="47"/>
      <c r="J124" s="47"/>
      <c r="K124" s="47"/>
      <c r="L124" s="108"/>
      <c r="M124" s="38"/>
      <c r="N124" s="38"/>
    </row>
    <row r="125" spans="1:14" s="38" customFormat="1" ht="14.5" x14ac:dyDescent="0.35">
      <c r="A125" s="156" t="s">
        <v>109</v>
      </c>
      <c r="B125" s="28">
        <f>-220156.09</f>
        <v>-220156.09</v>
      </c>
      <c r="C125" s="28">
        <v>-265580.57</v>
      </c>
      <c r="D125" s="28">
        <v>-262591.99</v>
      </c>
      <c r="E125" s="28">
        <v>-309552.11</v>
      </c>
      <c r="F125" s="28">
        <v>-305991.15000000002</v>
      </c>
      <c r="G125" s="52">
        <f>+D125/D145</f>
        <v>-7.3207121304067176E-3</v>
      </c>
    </row>
    <row r="126" spans="1:14" x14ac:dyDescent="0.3">
      <c r="A126" s="42" t="s">
        <v>5</v>
      </c>
      <c r="B126" s="13">
        <f>+B93+B106+B125</f>
        <v>12918858.950000001</v>
      </c>
      <c r="C126" s="13">
        <f>+C93+C106+C125</f>
        <v>12881270.189999999</v>
      </c>
      <c r="D126" s="13">
        <f>+D93+D106+D125</f>
        <v>21019794.5</v>
      </c>
      <c r="E126" s="13">
        <f>+E93+E106+E125</f>
        <v>29875130.300000001</v>
      </c>
      <c r="F126" s="13">
        <f>+F93+F106+F125</f>
        <v>30018895.720000003</v>
      </c>
      <c r="G126" s="17">
        <f>+D126/D145</f>
        <v>0.5860036499011505</v>
      </c>
    </row>
    <row r="127" spans="1:14" x14ac:dyDescent="0.3">
      <c r="A127" s="3"/>
      <c r="B127" s="15"/>
      <c r="C127" s="15"/>
      <c r="D127" s="15"/>
      <c r="E127" s="15"/>
      <c r="F127" s="15"/>
      <c r="G127" s="76"/>
    </row>
    <row r="128" spans="1:14" x14ac:dyDescent="0.3">
      <c r="A128" s="25" t="s">
        <v>6</v>
      </c>
      <c r="B128" s="66"/>
      <c r="C128" s="66"/>
      <c r="D128" s="66"/>
      <c r="E128" s="66"/>
      <c r="F128" s="66"/>
      <c r="G128" s="53"/>
      <c r="I128" s="59"/>
    </row>
    <row r="129" spans="1:11" x14ac:dyDescent="0.3">
      <c r="A129" s="50"/>
      <c r="B129" s="4"/>
      <c r="C129" s="4"/>
      <c r="D129" s="4"/>
      <c r="E129" s="4"/>
      <c r="F129" s="4"/>
      <c r="G129" s="54"/>
      <c r="J129" s="125"/>
    </row>
    <row r="130" spans="1:11" s="21" customFormat="1" x14ac:dyDescent="0.3">
      <c r="A130" s="50" t="s">
        <v>32</v>
      </c>
      <c r="B130" s="4">
        <f>SUM(B131:B137)</f>
        <v>12050000</v>
      </c>
      <c r="C130" s="4">
        <f>SUM(C131:C137)</f>
        <v>16050000</v>
      </c>
      <c r="D130" s="4">
        <f>SUM(D131:D137)</f>
        <v>16050000</v>
      </c>
      <c r="E130" s="4">
        <f>SUM(E131:E137)</f>
        <v>16050000</v>
      </c>
      <c r="F130" s="4">
        <f>SUM(F131:F137)</f>
        <v>16050000</v>
      </c>
      <c r="G130" s="54">
        <f t="shared" ref="G130:G137" si="21">+D130/$D$145</f>
        <v>0.44745245158859498</v>
      </c>
      <c r="H130" s="86"/>
      <c r="I130" s="86"/>
      <c r="J130" s="110"/>
    </row>
    <row r="131" spans="1:11" s="21" customFormat="1" ht="13" x14ac:dyDescent="0.3">
      <c r="A131" s="72" t="s">
        <v>90</v>
      </c>
      <c r="B131" s="127">
        <f>1200000+2400000</f>
        <v>3600000</v>
      </c>
      <c r="C131" s="127">
        <v>4800000</v>
      </c>
      <c r="D131" s="127">
        <v>4800000</v>
      </c>
      <c r="E131" s="127">
        <v>4800000</v>
      </c>
      <c r="F131" s="127">
        <v>4800000</v>
      </c>
      <c r="G131" s="63">
        <f t="shared" si="21"/>
        <v>0.13381755561528075</v>
      </c>
      <c r="H131" s="153"/>
      <c r="I131" s="153"/>
    </row>
    <row r="132" spans="1:11" s="21" customFormat="1" x14ac:dyDescent="0.3">
      <c r="A132" s="72" t="s">
        <v>96</v>
      </c>
      <c r="B132" s="127">
        <f t="shared" ref="B132:B134" si="22">800000+1600000</f>
        <v>2400000</v>
      </c>
      <c r="C132" s="127">
        <v>3200000</v>
      </c>
      <c r="D132" s="127">
        <v>3200000</v>
      </c>
      <c r="E132" s="127">
        <v>3200000</v>
      </c>
      <c r="F132" s="127">
        <v>3200000</v>
      </c>
      <c r="G132" s="63">
        <f t="shared" si="21"/>
        <v>8.9211703743520498E-2</v>
      </c>
      <c r="H132" s="106"/>
      <c r="I132" s="106"/>
      <c r="J132" s="106"/>
      <c r="K132" s="121"/>
    </row>
    <row r="133" spans="1:11" s="21" customFormat="1" ht="13" x14ac:dyDescent="0.3">
      <c r="A133" s="72" t="s">
        <v>95</v>
      </c>
      <c r="B133" s="127">
        <f t="shared" si="22"/>
        <v>2400000</v>
      </c>
      <c r="C133" s="127">
        <v>3200000</v>
      </c>
      <c r="D133" s="127">
        <v>3200000</v>
      </c>
      <c r="E133" s="127">
        <v>3200000</v>
      </c>
      <c r="F133" s="127">
        <v>3200000</v>
      </c>
      <c r="G133" s="63">
        <f t="shared" si="21"/>
        <v>8.9211703743520498E-2</v>
      </c>
      <c r="H133" s="110"/>
      <c r="I133" s="110"/>
      <c r="J133" s="75"/>
      <c r="K133" s="75"/>
    </row>
    <row r="134" spans="1:11" s="21" customFormat="1" ht="13" x14ac:dyDescent="0.3">
      <c r="A134" s="72" t="s">
        <v>91</v>
      </c>
      <c r="B134" s="127">
        <f t="shared" si="22"/>
        <v>2400000</v>
      </c>
      <c r="C134" s="127">
        <v>3200000</v>
      </c>
      <c r="D134" s="127">
        <v>3200000</v>
      </c>
      <c r="E134" s="127">
        <v>3200000</v>
      </c>
      <c r="F134" s="127">
        <v>3200000</v>
      </c>
      <c r="G134" s="63">
        <f t="shared" si="21"/>
        <v>8.9211703743520498E-2</v>
      </c>
      <c r="H134" s="105"/>
      <c r="I134" s="176"/>
    </row>
    <row r="135" spans="1:11" s="21" customFormat="1" ht="13" x14ac:dyDescent="0.3">
      <c r="A135" s="72" t="s">
        <v>92</v>
      </c>
      <c r="B135" s="127">
        <f t="shared" ref="B135:B136" si="23">200000+400000</f>
        <v>600000</v>
      </c>
      <c r="C135" s="127">
        <v>800000</v>
      </c>
      <c r="D135" s="127">
        <v>800000</v>
      </c>
      <c r="E135" s="127">
        <v>800000</v>
      </c>
      <c r="F135" s="127">
        <v>800000</v>
      </c>
      <c r="G135" s="63">
        <f t="shared" si="21"/>
        <v>2.2302925935880125E-2</v>
      </c>
      <c r="H135" s="86"/>
      <c r="I135" s="110"/>
      <c r="J135" s="176"/>
    </row>
    <row r="136" spans="1:11" s="21" customFormat="1" ht="13" x14ac:dyDescent="0.3">
      <c r="A136" s="72" t="s">
        <v>93</v>
      </c>
      <c r="B136" s="127">
        <f t="shared" si="23"/>
        <v>600000</v>
      </c>
      <c r="C136" s="127">
        <v>800000</v>
      </c>
      <c r="D136" s="127">
        <v>800000</v>
      </c>
      <c r="E136" s="127">
        <v>800000</v>
      </c>
      <c r="F136" s="127">
        <v>800000</v>
      </c>
      <c r="G136" s="63">
        <f t="shared" si="21"/>
        <v>2.2302925935880125E-2</v>
      </c>
      <c r="H136" s="123"/>
      <c r="I136" s="123"/>
      <c r="J136" s="86"/>
    </row>
    <row r="137" spans="1:11" s="21" customFormat="1" ht="13" x14ac:dyDescent="0.3">
      <c r="A137" s="72" t="s">
        <v>94</v>
      </c>
      <c r="B137" s="127">
        <v>50000</v>
      </c>
      <c r="C137" s="127">
        <v>50000</v>
      </c>
      <c r="D137" s="127">
        <v>50000</v>
      </c>
      <c r="E137" s="127">
        <v>50000</v>
      </c>
      <c r="F137" s="127">
        <v>50000</v>
      </c>
      <c r="G137" s="63">
        <f t="shared" si="21"/>
        <v>1.3939328709925078E-3</v>
      </c>
      <c r="H137" s="123"/>
      <c r="I137" s="123"/>
      <c r="J137" s="110"/>
      <c r="K137" s="75"/>
    </row>
    <row r="138" spans="1:11" ht="14.5" x14ac:dyDescent="0.35">
      <c r="A138" s="97" t="s">
        <v>53</v>
      </c>
      <c r="B138" s="4">
        <v>-494742.37999999995</v>
      </c>
      <c r="C138" s="4">
        <v>-494742.37999999995</v>
      </c>
      <c r="D138" s="4">
        <v>-494742.37999999995</v>
      </c>
      <c r="E138" s="4">
        <v>-494742.37999999995</v>
      </c>
      <c r="F138" s="4">
        <v>-494742.37999999995</v>
      </c>
      <c r="G138" s="54">
        <f>+D138/D145</f>
        <v>-1.3792753323101323E-2</v>
      </c>
      <c r="H138" s="59"/>
      <c r="I138" s="59"/>
    </row>
    <row r="139" spans="1:11" ht="14.5" x14ac:dyDescent="0.35">
      <c r="A139" s="97" t="s">
        <v>58</v>
      </c>
      <c r="B139" s="4">
        <f>+B140+B141</f>
        <v>0</v>
      </c>
      <c r="C139" s="4">
        <f>+C140+C141</f>
        <v>0</v>
      </c>
      <c r="D139" s="4">
        <f>+D140+D141</f>
        <v>0</v>
      </c>
      <c r="E139" s="4">
        <f>+E140+E141</f>
        <v>0</v>
      </c>
      <c r="F139" s="4">
        <f>+F140+F141</f>
        <v>0</v>
      </c>
      <c r="G139" s="54"/>
      <c r="H139" s="121"/>
      <c r="I139" s="59"/>
    </row>
    <row r="140" spans="1:11" s="21" customFormat="1" x14ac:dyDescent="0.3">
      <c r="A140" s="72" t="s">
        <v>76</v>
      </c>
      <c r="B140" s="127">
        <v>0</v>
      </c>
      <c r="C140" s="127">
        <v>0</v>
      </c>
      <c r="D140" s="127">
        <v>0</v>
      </c>
      <c r="E140" s="127">
        <v>0</v>
      </c>
      <c r="F140" s="127">
        <v>0</v>
      </c>
      <c r="G140" s="54"/>
      <c r="H140" s="103"/>
    </row>
    <row r="141" spans="1:11" s="21" customFormat="1" x14ac:dyDescent="0.3">
      <c r="A141" s="72" t="s">
        <v>59</v>
      </c>
      <c r="B141" s="127">
        <v>0</v>
      </c>
      <c r="C141" s="127">
        <v>0</v>
      </c>
      <c r="D141" s="127">
        <v>0</v>
      </c>
      <c r="E141" s="127">
        <v>0</v>
      </c>
      <c r="F141" s="127">
        <v>0</v>
      </c>
      <c r="G141" s="54"/>
      <c r="H141" s="103"/>
    </row>
    <row r="142" spans="1:11" x14ac:dyDescent="0.3">
      <c r="A142" s="50" t="s">
        <v>88</v>
      </c>
      <c r="B142" s="4">
        <f>+B210</f>
        <v>-299909.48666666663</v>
      </c>
      <c r="C142" s="4">
        <f>+C210</f>
        <v>-517416.85000000003</v>
      </c>
      <c r="D142" s="4">
        <f>+D210</f>
        <v>-705319.05</v>
      </c>
      <c r="E142" s="4">
        <f>+E210</f>
        <v>-611269.3600000001</v>
      </c>
      <c r="F142" s="4">
        <f>+F210</f>
        <v>-632745.77000000037</v>
      </c>
      <c r="G142" s="54">
        <f>+D142/$D$145</f>
        <v>-1.9663348166644164E-2</v>
      </c>
      <c r="H142" s="121"/>
      <c r="I142" s="76"/>
    </row>
    <row r="143" spans="1:11" x14ac:dyDescent="0.3">
      <c r="A143" s="50"/>
      <c r="B143" s="4"/>
      <c r="C143" s="4"/>
      <c r="D143" s="4"/>
      <c r="E143" s="4"/>
      <c r="F143" s="4"/>
      <c r="G143" s="54"/>
      <c r="H143" s="76"/>
      <c r="I143" s="76"/>
      <c r="J143" s="59"/>
    </row>
    <row r="144" spans="1:11" x14ac:dyDescent="0.3">
      <c r="A144" s="81" t="s">
        <v>7</v>
      </c>
      <c r="B144" s="13">
        <f>+B130+B138+B139+B142</f>
        <v>11255348.133333333</v>
      </c>
      <c r="C144" s="13">
        <f>+C130+C138+C139+C142</f>
        <v>15037840.77</v>
      </c>
      <c r="D144" s="13">
        <f>+D130+D138+D139+D142</f>
        <v>14849938.569999998</v>
      </c>
      <c r="E144" s="13">
        <f>+E130+E138+E139+E142</f>
        <v>14943988.26</v>
      </c>
      <c r="F144" s="13">
        <f>+F130+F138+F139+F142</f>
        <v>14922511.85</v>
      </c>
      <c r="G144" s="17">
        <f>+D144/D145</f>
        <v>0.41399635009884944</v>
      </c>
      <c r="I144" s="59"/>
      <c r="J144" s="59"/>
    </row>
    <row r="145" spans="1:10" x14ac:dyDescent="0.3">
      <c r="A145" s="16" t="s">
        <v>10</v>
      </c>
      <c r="B145" s="13">
        <f>+B126+B144</f>
        <v>24174207.083333336</v>
      </c>
      <c r="C145" s="13">
        <f>+C126+C144</f>
        <v>27919110.960000001</v>
      </c>
      <c r="D145" s="13">
        <f>+D126+D144</f>
        <v>35869733.07</v>
      </c>
      <c r="E145" s="13">
        <f>+E126+E144</f>
        <v>44819118.560000002</v>
      </c>
      <c r="F145" s="13">
        <f>+F126+F144</f>
        <v>44941407.57</v>
      </c>
      <c r="G145" s="17">
        <f>+D145/D145</f>
        <v>1</v>
      </c>
      <c r="I145" s="59"/>
      <c r="J145" s="59"/>
    </row>
    <row r="146" spans="1:10" x14ac:dyDescent="0.3">
      <c r="A146" s="43"/>
      <c r="B146" s="67"/>
      <c r="C146" s="67"/>
      <c r="D146" s="67"/>
      <c r="E146" s="67"/>
      <c r="F146" s="67"/>
      <c r="G146" s="83"/>
      <c r="I146" s="59"/>
      <c r="J146" s="59"/>
    </row>
    <row r="147" spans="1:10" x14ac:dyDescent="0.3">
      <c r="A147" s="81" t="s">
        <v>80</v>
      </c>
      <c r="B147" s="68" t="str">
        <f>+B3</f>
        <v>January</v>
      </c>
      <c r="C147" s="68" t="str">
        <f>+C3</f>
        <v>February</v>
      </c>
      <c r="D147" s="68" t="str">
        <f>+D3</f>
        <v>March</v>
      </c>
      <c r="E147" s="68" t="str">
        <f>+E3</f>
        <v>April</v>
      </c>
      <c r="F147" s="68" t="str">
        <f>+F3</f>
        <v>May</v>
      </c>
      <c r="G147" s="68" t="str">
        <f>+F147</f>
        <v>May</v>
      </c>
    </row>
    <row r="148" spans="1:10" x14ac:dyDescent="0.3">
      <c r="A148" s="24"/>
      <c r="B148" s="69"/>
      <c r="C148" s="69"/>
      <c r="D148" s="69"/>
      <c r="E148" s="69"/>
      <c r="F148" s="69"/>
      <c r="G148" s="31" t="s">
        <v>24</v>
      </c>
    </row>
    <row r="149" spans="1:10" s="38" customFormat="1" x14ac:dyDescent="0.3">
      <c r="A149" s="50" t="s">
        <v>11</v>
      </c>
      <c r="B149" s="70"/>
      <c r="C149" s="70"/>
      <c r="D149" s="70"/>
      <c r="E149" s="70"/>
      <c r="F149" s="70"/>
      <c r="G149" s="25"/>
    </row>
    <row r="150" spans="1:10" s="38" customFormat="1" ht="13" x14ac:dyDescent="0.3">
      <c r="A150" s="72" t="str">
        <f t="shared" ref="A150:B152" si="24">+A180</f>
        <v xml:space="preserve">Loans Interests </v>
      </c>
      <c r="B150" s="124">
        <f t="shared" si="24"/>
        <v>125236.9</v>
      </c>
      <c r="C150" s="124">
        <f t="shared" ref="C150:F152" si="25">+C180-B180</f>
        <v>128835.47</v>
      </c>
      <c r="D150" s="124">
        <f t="shared" si="25"/>
        <v>191481.99</v>
      </c>
      <c r="E150" s="124">
        <f t="shared" si="25"/>
        <v>239756.5</v>
      </c>
      <c r="F150" s="124">
        <f t="shared" si="25"/>
        <v>262393.82999999996</v>
      </c>
      <c r="G150" s="41">
        <f>SUM(B150:F150)</f>
        <v>947704.69</v>
      </c>
    </row>
    <row r="151" spans="1:10" s="38" customFormat="1" ht="13" x14ac:dyDescent="0.3">
      <c r="A151" s="72" t="str">
        <f t="shared" si="24"/>
        <v>Disbursement Fee</v>
      </c>
      <c r="B151" s="124">
        <f t="shared" si="24"/>
        <v>3663.82</v>
      </c>
      <c r="C151" s="124">
        <f t="shared" si="25"/>
        <v>3674.3699999999994</v>
      </c>
      <c r="D151" s="124">
        <f t="shared" si="25"/>
        <v>4210.9800000000005</v>
      </c>
      <c r="E151" s="124">
        <f t="shared" si="25"/>
        <v>4075.1100000000006</v>
      </c>
      <c r="F151" s="124">
        <f t="shared" si="25"/>
        <v>6063.8399999999983</v>
      </c>
      <c r="G151" s="41">
        <f t="shared" ref="G151:G152" si="26">SUM(B151:F151)</f>
        <v>21688.12</v>
      </c>
    </row>
    <row r="152" spans="1:10" s="38" customFormat="1" ht="13" x14ac:dyDescent="0.3">
      <c r="A152" s="72" t="str">
        <f t="shared" si="24"/>
        <v>Other Income</v>
      </c>
      <c r="B152" s="124">
        <f t="shared" si="24"/>
        <v>2329.35</v>
      </c>
      <c r="C152" s="124">
        <f t="shared" si="25"/>
        <v>308.05999999999995</v>
      </c>
      <c r="D152" s="124">
        <f t="shared" si="25"/>
        <v>349.32000000000016</v>
      </c>
      <c r="E152" s="124">
        <f t="shared" si="25"/>
        <v>474.07000000000016</v>
      </c>
      <c r="F152" s="124">
        <f t="shared" si="25"/>
        <v>663.25</v>
      </c>
      <c r="G152" s="41">
        <f t="shared" si="26"/>
        <v>4124.05</v>
      </c>
    </row>
    <row r="153" spans="1:10" s="38" customFormat="1" ht="13" x14ac:dyDescent="0.3">
      <c r="A153" s="72" t="s">
        <v>8</v>
      </c>
      <c r="B153" s="124">
        <f t="shared" ref="B153:G153" si="27">SUM(B150:B152)</f>
        <v>131230.07</v>
      </c>
      <c r="C153" s="124">
        <f t="shared" si="27"/>
        <v>132817.9</v>
      </c>
      <c r="D153" s="124">
        <f t="shared" si="27"/>
        <v>196042.29</v>
      </c>
      <c r="E153" s="124">
        <f t="shared" si="27"/>
        <v>244305.68</v>
      </c>
      <c r="F153" s="124">
        <f t="shared" si="27"/>
        <v>269120.92</v>
      </c>
      <c r="G153" s="41">
        <f t="shared" si="27"/>
        <v>973516.86</v>
      </c>
    </row>
    <row r="154" spans="1:10" x14ac:dyDescent="0.3">
      <c r="A154" s="50"/>
      <c r="B154" s="11"/>
      <c r="C154" s="11"/>
      <c r="D154" s="11"/>
      <c r="E154" s="11"/>
      <c r="F154" s="11"/>
      <c r="G154" s="11"/>
    </row>
    <row r="155" spans="1:10" s="38" customFormat="1" x14ac:dyDescent="0.3">
      <c r="A155" s="50" t="s">
        <v>12</v>
      </c>
      <c r="B155" s="11"/>
      <c r="C155" s="11"/>
      <c r="D155" s="11"/>
      <c r="E155" s="11"/>
      <c r="F155" s="11"/>
      <c r="G155" s="11"/>
    </row>
    <row r="156" spans="1:10" s="38" customFormat="1" ht="13" x14ac:dyDescent="0.3">
      <c r="A156" s="72" t="str">
        <f t="shared" ref="A156:A157" si="28">+A186</f>
        <v>Management Fees</v>
      </c>
      <c r="B156" s="124">
        <f>+B186</f>
        <v>-133319.59</v>
      </c>
      <c r="C156" s="124">
        <f t="shared" ref="C156:F160" si="29">+C186-B186</f>
        <v>-124805.48000000001</v>
      </c>
      <c r="D156" s="124">
        <f t="shared" si="29"/>
        <v>-140391.77999999997</v>
      </c>
      <c r="E156" s="124">
        <f t="shared" si="29"/>
        <v>-133870.01</v>
      </c>
      <c r="F156" s="124">
        <f t="shared" si="29"/>
        <v>-137931.78000000003</v>
      </c>
      <c r="G156" s="41">
        <f>SUM(B156:F156)</f>
        <v>-670318.64</v>
      </c>
    </row>
    <row r="157" spans="1:10" s="38" customFormat="1" ht="13" x14ac:dyDescent="0.3">
      <c r="A157" s="72" t="str">
        <f t="shared" si="28"/>
        <v>Senior Loans Interests</v>
      </c>
      <c r="B157" s="124">
        <f>+B187</f>
        <v>-62688.6</v>
      </c>
      <c r="C157" s="124">
        <f t="shared" si="29"/>
        <v>-57400.46</v>
      </c>
      <c r="D157" s="124">
        <f t="shared" si="29"/>
        <v>-75754</v>
      </c>
      <c r="E157" s="124">
        <f t="shared" si="29"/>
        <v>-109651.5</v>
      </c>
      <c r="F157" s="124">
        <f t="shared" si="29"/>
        <v>-144135.56</v>
      </c>
      <c r="G157" s="41">
        <f t="shared" ref="G157:G166" si="30">SUM(B157:F157)</f>
        <v>-449630.12</v>
      </c>
    </row>
    <row r="158" spans="1:10" s="38" customFormat="1" ht="13" x14ac:dyDescent="0.3">
      <c r="A158" s="72" t="str">
        <f t="shared" ref="A158:A160" si="31">+A188</f>
        <v>Senior Loans Fees</v>
      </c>
      <c r="B158" s="124">
        <f>+B188</f>
        <v>-11923.62</v>
      </c>
      <c r="C158" s="124">
        <f t="shared" si="29"/>
        <v>-14089.42</v>
      </c>
      <c r="D158" s="124">
        <f t="shared" si="29"/>
        <v>-15733.04</v>
      </c>
      <c r="E158" s="124">
        <f t="shared" si="29"/>
        <v>-14248.220000000001</v>
      </c>
      <c r="F158" s="124">
        <f t="shared" si="29"/>
        <v>-12516.520000000004</v>
      </c>
      <c r="G158" s="41">
        <f t="shared" si="30"/>
        <v>-68510.820000000007</v>
      </c>
    </row>
    <row r="159" spans="1:10" s="38" customFormat="1" ht="13" x14ac:dyDescent="0.3">
      <c r="A159" s="72" t="str">
        <f t="shared" si="31"/>
        <v>Legal Expenses</v>
      </c>
      <c r="B159" s="124">
        <f>+B189</f>
        <v>-278.64</v>
      </c>
      <c r="C159" s="124">
        <f t="shared" si="29"/>
        <v>-3744.02</v>
      </c>
      <c r="D159" s="124">
        <f t="shared" si="29"/>
        <v>-11094.64</v>
      </c>
      <c r="E159" s="124">
        <f t="shared" si="29"/>
        <v>-10074.469999999998</v>
      </c>
      <c r="F159" s="124">
        <f t="shared" si="29"/>
        <v>-4577.0700000000033</v>
      </c>
      <c r="G159" s="41">
        <f t="shared" si="30"/>
        <v>-29768.84</v>
      </c>
    </row>
    <row r="160" spans="1:10" s="80" customFormat="1" ht="12.5" x14ac:dyDescent="0.25">
      <c r="A160" s="107" t="str">
        <f t="shared" si="31"/>
        <v>Operational - Legal Expenses</v>
      </c>
      <c r="B160" s="118">
        <f>+B190</f>
        <v>-278.64</v>
      </c>
      <c r="C160" s="118">
        <f t="shared" si="29"/>
        <v>0</v>
      </c>
      <c r="D160" s="118">
        <f t="shared" si="29"/>
        <v>0</v>
      </c>
      <c r="E160" s="118">
        <f t="shared" si="29"/>
        <v>0</v>
      </c>
      <c r="F160" s="118">
        <f t="shared" si="29"/>
        <v>-1970.2000000000003</v>
      </c>
      <c r="G160" s="41">
        <f t="shared" si="30"/>
        <v>-2248.84</v>
      </c>
    </row>
    <row r="161" spans="1:9" s="80" customFormat="1" ht="12.5" x14ac:dyDescent="0.25">
      <c r="A161" s="107" t="str">
        <f>+A194</f>
        <v>Senior Loans - Legal Expenses</v>
      </c>
      <c r="B161" s="118">
        <f>+B194</f>
        <v>0</v>
      </c>
      <c r="C161" s="118">
        <f>+C194-B194</f>
        <v>-3744.02</v>
      </c>
      <c r="D161" s="118">
        <f t="shared" ref="D161:F161" si="32">+D194-C194</f>
        <v>-11094.64</v>
      </c>
      <c r="E161" s="118">
        <f t="shared" si="32"/>
        <v>-10074.469999999998</v>
      </c>
      <c r="F161" s="118">
        <f t="shared" si="32"/>
        <v>-2606.8700000000026</v>
      </c>
      <c r="G161" s="41">
        <f t="shared" si="30"/>
        <v>-27520</v>
      </c>
    </row>
    <row r="162" spans="1:9" s="38" customFormat="1" ht="13" x14ac:dyDescent="0.3">
      <c r="A162" s="72" t="str">
        <f>+A199</f>
        <v>Bank and Account Charges</v>
      </c>
      <c r="B162" s="124">
        <f>+B199</f>
        <v>-135</v>
      </c>
      <c r="C162" s="124">
        <f>+C199-B199</f>
        <v>-175</v>
      </c>
      <c r="D162" s="124">
        <f>+D199-C199</f>
        <v>-390</v>
      </c>
      <c r="E162" s="124">
        <f>+E199-D199</f>
        <v>-295</v>
      </c>
      <c r="F162" s="124">
        <f>+F199-E199</f>
        <v>-365</v>
      </c>
      <c r="G162" s="41">
        <f t="shared" si="30"/>
        <v>-1360</v>
      </c>
    </row>
    <row r="163" spans="1:9" s="38" customFormat="1" ht="13" x14ac:dyDescent="0.3">
      <c r="A163" s="72" t="str">
        <f t="shared" ref="A163:A166" si="33">+A200</f>
        <v>Credit Committe Meetings Costs</v>
      </c>
      <c r="B163" s="124">
        <f>+B200</f>
        <v>0</v>
      </c>
      <c r="C163" s="124">
        <f>+C200</f>
        <v>-750</v>
      </c>
      <c r="D163" s="124">
        <f>+D200-C200</f>
        <v>-1500</v>
      </c>
      <c r="E163" s="124">
        <f>+E200-D200</f>
        <v>-750</v>
      </c>
      <c r="F163" s="124">
        <f>+F200-E200</f>
        <v>-1000</v>
      </c>
      <c r="G163" s="41">
        <f t="shared" si="30"/>
        <v>-4000</v>
      </c>
    </row>
    <row r="164" spans="1:9" s="38" customFormat="1" ht="13" x14ac:dyDescent="0.3">
      <c r="A164" s="72" t="str">
        <f t="shared" si="33"/>
        <v>Advisory Committee Meetings Costs</v>
      </c>
      <c r="B164" s="124">
        <f>+B201</f>
        <v>0</v>
      </c>
      <c r="C164" s="124">
        <f>+C201</f>
        <v>0</v>
      </c>
      <c r="D164" s="124">
        <f>+D201</f>
        <v>0</v>
      </c>
      <c r="E164" s="124">
        <f>+E201</f>
        <v>0</v>
      </c>
      <c r="F164" s="124">
        <f>+F201</f>
        <v>0</v>
      </c>
      <c r="G164" s="41">
        <f t="shared" si="30"/>
        <v>0</v>
      </c>
    </row>
    <row r="165" spans="1:9" s="38" customFormat="1" ht="13" x14ac:dyDescent="0.3">
      <c r="A165" s="72" t="str">
        <f t="shared" si="33"/>
        <v>External Audit and Report Expenses</v>
      </c>
      <c r="B165" s="124">
        <f>+B202</f>
        <v>-2686.6666666666702</v>
      </c>
      <c r="C165" s="124">
        <f t="shared" ref="C165:F166" si="34">+C202-B202</f>
        <v>-2686.67333333333</v>
      </c>
      <c r="D165" s="124">
        <f t="shared" si="34"/>
        <v>-2686.67</v>
      </c>
      <c r="E165" s="124">
        <f t="shared" si="34"/>
        <v>-2686.67</v>
      </c>
      <c r="F165" s="124">
        <f t="shared" si="34"/>
        <v>-2686.67</v>
      </c>
      <c r="G165" s="41">
        <f t="shared" si="30"/>
        <v>-13433.35</v>
      </c>
    </row>
    <row r="166" spans="1:9" s="38" customFormat="1" ht="13" x14ac:dyDescent="0.3">
      <c r="A166" s="72" t="str">
        <f t="shared" si="33"/>
        <v>Insurance - D&amp;O</v>
      </c>
      <c r="B166" s="124">
        <f>+B203</f>
        <v>-1666.67</v>
      </c>
      <c r="C166" s="124">
        <f t="shared" si="34"/>
        <v>-1666.67</v>
      </c>
      <c r="D166" s="152">
        <f t="shared" si="34"/>
        <v>-916.67000000000007</v>
      </c>
      <c r="E166" s="124">
        <f t="shared" si="34"/>
        <v>-1416.67</v>
      </c>
      <c r="F166" s="124">
        <f t="shared" si="34"/>
        <v>-1416.67</v>
      </c>
      <c r="G166" s="41">
        <f t="shared" si="30"/>
        <v>-7083.35</v>
      </c>
    </row>
    <row r="167" spans="1:9" s="38" customFormat="1" ht="13" x14ac:dyDescent="0.3">
      <c r="A167" s="72" t="str">
        <f>+A204</f>
        <v>TOTAL EXPENSES</v>
      </c>
      <c r="B167" s="41">
        <f t="shared" ref="B167:G167" si="35">+B156+B162+B158+B159+B163+B164+B165+B157+B166</f>
        <v>-212698.78666666668</v>
      </c>
      <c r="C167" s="41">
        <f t="shared" si="35"/>
        <v>-205317.72333333336</v>
      </c>
      <c r="D167" s="41">
        <f t="shared" si="35"/>
        <v>-248466.8</v>
      </c>
      <c r="E167" s="41">
        <f t="shared" si="35"/>
        <v>-272992.53999999998</v>
      </c>
      <c r="F167" s="41">
        <f t="shared" si="35"/>
        <v>-304629.27000000008</v>
      </c>
      <c r="G167" s="41">
        <f t="shared" si="35"/>
        <v>-1244105.1200000001</v>
      </c>
    </row>
    <row r="168" spans="1:9" x14ac:dyDescent="0.3">
      <c r="A168" s="23"/>
      <c r="B168" s="71"/>
      <c r="C168" s="71"/>
      <c r="D168" s="71"/>
      <c r="E168" s="71"/>
      <c r="F168" s="71"/>
      <c r="G168" s="71"/>
    </row>
    <row r="169" spans="1:9" x14ac:dyDescent="0.3">
      <c r="A169" s="16" t="s">
        <v>118</v>
      </c>
      <c r="B169" s="13">
        <f t="shared" ref="B169:G169" si="36">+B153+B167</f>
        <v>-81468.716666666674</v>
      </c>
      <c r="C169" s="13">
        <f t="shared" si="36"/>
        <v>-72499.823333333363</v>
      </c>
      <c r="D169" s="13">
        <f t="shared" si="36"/>
        <v>-52424.50999999998</v>
      </c>
      <c r="E169" s="13">
        <f t="shared" si="36"/>
        <v>-28686.859999999986</v>
      </c>
      <c r="F169" s="13">
        <f t="shared" si="36"/>
        <v>-35508.350000000093</v>
      </c>
      <c r="G169" s="13">
        <f t="shared" si="36"/>
        <v>-270588.26000000013</v>
      </c>
    </row>
    <row r="170" spans="1:9" x14ac:dyDescent="0.3">
      <c r="A170" s="77"/>
      <c r="B170" s="40"/>
      <c r="C170" s="40"/>
      <c r="D170" s="40"/>
      <c r="E170" s="40"/>
      <c r="F170" s="40"/>
      <c r="G170" s="25"/>
      <c r="I170" s="51"/>
    </row>
    <row r="171" spans="1:9" x14ac:dyDescent="0.3">
      <c r="A171" s="78" t="s">
        <v>54</v>
      </c>
      <c r="B171" s="11">
        <f>+B208</f>
        <v>-218440.76999999996</v>
      </c>
      <c r="C171" s="11">
        <f>+C208-B208</f>
        <v>-145007.54000000004</v>
      </c>
      <c r="D171" s="11">
        <f>+D208-C208</f>
        <v>-135477.69</v>
      </c>
      <c r="E171" s="11">
        <f>+E208-D208</f>
        <v>122736.55000000005</v>
      </c>
      <c r="F171" s="11">
        <f>+F208-E208</f>
        <v>14031.939999999711</v>
      </c>
      <c r="G171" s="11">
        <f>SUM(B171:F171)</f>
        <v>-362157.51000000024</v>
      </c>
      <c r="I171" s="51"/>
    </row>
    <row r="172" spans="1:9" x14ac:dyDescent="0.3">
      <c r="A172" s="10"/>
      <c r="B172" s="41"/>
      <c r="C172" s="41"/>
      <c r="D172" s="41"/>
      <c r="E172" s="41"/>
      <c r="F172" s="41"/>
      <c r="G172" s="72"/>
    </row>
    <row r="173" spans="1:9" x14ac:dyDescent="0.3">
      <c r="A173" s="42" t="s">
        <v>119</v>
      </c>
      <c r="B173" s="13">
        <f t="shared" ref="B173:G173" si="37">+B169+B171</f>
        <v>-299909.48666666663</v>
      </c>
      <c r="C173" s="13">
        <f t="shared" si="37"/>
        <v>-217507.3633333334</v>
      </c>
      <c r="D173" s="13">
        <f t="shared" si="37"/>
        <v>-187902.19999999998</v>
      </c>
      <c r="E173" s="13">
        <f t="shared" si="37"/>
        <v>94049.690000000061</v>
      </c>
      <c r="F173" s="13">
        <f t="shared" si="37"/>
        <v>-21476.410000000382</v>
      </c>
      <c r="G173" s="13">
        <f t="shared" si="37"/>
        <v>-632745.77000000037</v>
      </c>
      <c r="H173" s="51"/>
    </row>
    <row r="174" spans="1:9" x14ac:dyDescent="0.3">
      <c r="A174" s="43"/>
      <c r="B174" s="14"/>
      <c r="C174" s="14"/>
      <c r="D174" s="14"/>
      <c r="E174" s="14"/>
      <c r="F174" s="14"/>
      <c r="G174" s="14"/>
    </row>
    <row r="175" spans="1:9" x14ac:dyDescent="0.3">
      <c r="A175" s="43"/>
      <c r="B175" s="128"/>
      <c r="C175" s="128"/>
      <c r="D175" s="128"/>
      <c r="E175" s="128"/>
      <c r="F175" s="128"/>
      <c r="G175" s="84"/>
    </row>
    <row r="176" spans="1:9" x14ac:dyDescent="0.3">
      <c r="A176" s="43"/>
      <c r="B176" s="129"/>
      <c r="C176" s="129"/>
      <c r="D176" s="129"/>
      <c r="E176" s="129"/>
      <c r="F176" s="129"/>
      <c r="G176" s="85"/>
    </row>
    <row r="177" spans="1:7" x14ac:dyDescent="0.3">
      <c r="A177" s="25" t="s">
        <v>81</v>
      </c>
      <c r="B177" s="70"/>
      <c r="C177" s="70"/>
      <c r="D177" s="70"/>
      <c r="E177" s="70"/>
      <c r="F177" s="70"/>
      <c r="G177" s="36"/>
    </row>
    <row r="178" spans="1:7" x14ac:dyDescent="0.3">
      <c r="A178" s="50"/>
      <c r="B178" s="11"/>
      <c r="C178" s="11"/>
      <c r="D178" s="11"/>
      <c r="E178" s="11"/>
      <c r="F178" s="11"/>
      <c r="G178" s="64"/>
    </row>
    <row r="179" spans="1:7" s="38" customFormat="1" x14ac:dyDescent="0.3">
      <c r="A179" s="50" t="s">
        <v>11</v>
      </c>
      <c r="B179" s="11"/>
      <c r="C179" s="11"/>
      <c r="D179" s="11"/>
      <c r="E179" s="11"/>
      <c r="F179" s="11"/>
      <c r="G179" s="64"/>
    </row>
    <row r="180" spans="1:7" s="38" customFormat="1" ht="13" x14ac:dyDescent="0.3">
      <c r="A180" s="72" t="s">
        <v>35</v>
      </c>
      <c r="B180" s="124">
        <v>125236.9</v>
      </c>
      <c r="C180" s="124">
        <v>254072.37</v>
      </c>
      <c r="D180" s="124">
        <v>445554.36</v>
      </c>
      <c r="E180" s="124">
        <v>685310.86</v>
      </c>
      <c r="F180" s="124">
        <v>947704.69</v>
      </c>
      <c r="G180" s="89"/>
    </row>
    <row r="181" spans="1:7" s="38" customFormat="1" ht="13" x14ac:dyDescent="0.3">
      <c r="A181" s="72" t="s">
        <v>102</v>
      </c>
      <c r="B181" s="124">
        <v>3663.82</v>
      </c>
      <c r="C181" s="124">
        <v>7338.19</v>
      </c>
      <c r="D181" s="124">
        <v>11549.17</v>
      </c>
      <c r="E181" s="124">
        <v>15624.28</v>
      </c>
      <c r="F181" s="124">
        <v>21688.12</v>
      </c>
      <c r="G181" s="89"/>
    </row>
    <row r="182" spans="1:7" s="38" customFormat="1" ht="13" x14ac:dyDescent="0.3">
      <c r="A182" s="72" t="s">
        <v>89</v>
      </c>
      <c r="B182" s="124">
        <v>2329.35</v>
      </c>
      <c r="C182" s="124">
        <v>2637.41</v>
      </c>
      <c r="D182" s="124">
        <v>2986.73</v>
      </c>
      <c r="E182" s="124">
        <v>3460.8</v>
      </c>
      <c r="F182" s="124">
        <v>4124.05</v>
      </c>
      <c r="G182" s="89"/>
    </row>
    <row r="183" spans="1:7" x14ac:dyDescent="0.3">
      <c r="A183" s="50" t="s">
        <v>8</v>
      </c>
      <c r="B183" s="11">
        <f>SUM(B180:B182)</f>
        <v>131230.07</v>
      </c>
      <c r="C183" s="11">
        <f>SUM(C180:C182)</f>
        <v>264047.96999999997</v>
      </c>
      <c r="D183" s="11">
        <f>SUM(D180:D182)</f>
        <v>460090.25999999995</v>
      </c>
      <c r="E183" s="11">
        <f>SUM(E180:E182)</f>
        <v>704395.94000000006</v>
      </c>
      <c r="F183" s="11">
        <f>SUM(F180:F182)</f>
        <v>973516.86</v>
      </c>
      <c r="G183" s="36"/>
    </row>
    <row r="184" spans="1:7" x14ac:dyDescent="0.3">
      <c r="A184" s="50"/>
      <c r="B184" s="11"/>
      <c r="C184" s="11"/>
      <c r="D184" s="11"/>
      <c r="E184" s="11"/>
      <c r="F184" s="11"/>
      <c r="G184" s="76"/>
    </row>
    <row r="185" spans="1:7" s="38" customFormat="1" x14ac:dyDescent="0.3">
      <c r="A185" s="50" t="s">
        <v>12</v>
      </c>
      <c r="B185" s="11"/>
      <c r="C185" s="11"/>
      <c r="D185" s="11"/>
      <c r="E185" s="11"/>
      <c r="F185" s="11"/>
      <c r="G185" s="36"/>
    </row>
    <row r="186" spans="1:7" s="38" customFormat="1" ht="13" x14ac:dyDescent="0.3">
      <c r="A186" s="72" t="s">
        <v>13</v>
      </c>
      <c r="B186" s="124">
        <v>-133319.59</v>
      </c>
      <c r="C186" s="124">
        <v>-258125.07</v>
      </c>
      <c r="D186" s="124">
        <v>-398516.85</v>
      </c>
      <c r="E186" s="124">
        <f>-534379.86+1993</f>
        <v>-532386.86</v>
      </c>
      <c r="F186" s="124">
        <v>-670318.64</v>
      </c>
      <c r="G186" s="111"/>
    </row>
    <row r="187" spans="1:7" s="38" customFormat="1" ht="13" x14ac:dyDescent="0.3">
      <c r="A187" s="72" t="s">
        <v>62</v>
      </c>
      <c r="B187" s="124">
        <f>-62688.6</f>
        <v>-62688.6</v>
      </c>
      <c r="C187" s="124">
        <v>-120089.06</v>
      </c>
      <c r="D187" s="124">
        <v>-195843.06</v>
      </c>
      <c r="E187" s="124">
        <v>-305494.56</v>
      </c>
      <c r="F187" s="124">
        <v>-449630.12</v>
      </c>
      <c r="G187" s="111"/>
    </row>
    <row r="188" spans="1:7" s="38" customFormat="1" ht="13" x14ac:dyDescent="0.3">
      <c r="A188" s="72" t="s">
        <v>120</v>
      </c>
      <c r="B188" s="124">
        <v>-11923.62</v>
      </c>
      <c r="C188" s="124">
        <v>-26013.040000000001</v>
      </c>
      <c r="D188" s="124">
        <v>-41746.080000000002</v>
      </c>
      <c r="E188" s="124">
        <v>-55994.3</v>
      </c>
      <c r="F188" s="124">
        <v>-68510.820000000007</v>
      </c>
      <c r="G188" s="111"/>
    </row>
    <row r="189" spans="1:7" s="38" customFormat="1" ht="13" x14ac:dyDescent="0.3">
      <c r="A189" s="72" t="s">
        <v>20</v>
      </c>
      <c r="B189" s="124">
        <f>+B190+B194</f>
        <v>-278.64</v>
      </c>
      <c r="C189" s="124">
        <f>+C190+C194</f>
        <v>-4022.66</v>
      </c>
      <c r="D189" s="124">
        <f>+D190+D194</f>
        <v>-15117.3</v>
      </c>
      <c r="E189" s="124">
        <f>+E190+E194</f>
        <v>-25191.769999999997</v>
      </c>
      <c r="F189" s="124">
        <f>+F190+F194</f>
        <v>-29768.84</v>
      </c>
      <c r="G189" s="87"/>
    </row>
    <row r="190" spans="1:7" s="80" customFormat="1" ht="10" x14ac:dyDescent="0.2">
      <c r="A190" s="107" t="s">
        <v>107</v>
      </c>
      <c r="B190" s="118">
        <f>+B191+B192</f>
        <v>-278.64</v>
      </c>
      <c r="C190" s="118">
        <f>+C191+C192</f>
        <v>-278.64</v>
      </c>
      <c r="D190" s="118">
        <f>+D191+D192</f>
        <v>-278.64</v>
      </c>
      <c r="E190" s="118">
        <f>+E191+E192</f>
        <v>-278.64</v>
      </c>
      <c r="F190" s="118">
        <f>+F191+F192+F193</f>
        <v>-2248.84</v>
      </c>
      <c r="G190" s="186"/>
    </row>
    <row r="191" spans="1:7" s="116" customFormat="1" ht="9" x14ac:dyDescent="0.2">
      <c r="A191" s="114" t="s">
        <v>131</v>
      </c>
      <c r="B191" s="120">
        <v>-176</v>
      </c>
      <c r="C191" s="120">
        <v>-176</v>
      </c>
      <c r="D191" s="120">
        <v>-176</v>
      </c>
      <c r="E191" s="120">
        <v>-176</v>
      </c>
      <c r="F191" s="120">
        <f>-176-265</f>
        <v>-441</v>
      </c>
      <c r="G191" s="115"/>
    </row>
    <row r="192" spans="1:7" s="116" customFormat="1" ht="9" x14ac:dyDescent="0.2">
      <c r="A192" s="114" t="s">
        <v>130</v>
      </c>
      <c r="B192" s="120">
        <v>-102.64</v>
      </c>
      <c r="C192" s="120">
        <v>-102.64</v>
      </c>
      <c r="D192" s="120">
        <v>-102.64</v>
      </c>
      <c r="E192" s="120">
        <v>-102.64</v>
      </c>
      <c r="F192" s="120">
        <v>-102.64</v>
      </c>
      <c r="G192" s="115"/>
    </row>
    <row r="193" spans="1:8" s="116" customFormat="1" ht="9" x14ac:dyDescent="0.2">
      <c r="A193" s="114" t="s">
        <v>178</v>
      </c>
      <c r="B193" s="120">
        <v>0</v>
      </c>
      <c r="C193" s="120">
        <v>0</v>
      </c>
      <c r="D193" s="120">
        <v>0</v>
      </c>
      <c r="E193" s="120">
        <v>0</v>
      </c>
      <c r="F193" s="120">
        <v>-1705.2</v>
      </c>
      <c r="G193" s="115"/>
    </row>
    <row r="194" spans="1:8" s="80" customFormat="1" ht="10" x14ac:dyDescent="0.2">
      <c r="A194" s="107" t="s">
        <v>106</v>
      </c>
      <c r="B194" s="118">
        <f t="shared" ref="B194:C194" si="38">+B195+B196</f>
        <v>0</v>
      </c>
      <c r="C194" s="118">
        <f t="shared" si="38"/>
        <v>-3744.02</v>
      </c>
      <c r="D194" s="118">
        <f>+D195+D196</f>
        <v>-14838.66</v>
      </c>
      <c r="E194" s="118">
        <f>+E195+E196+E197+E198</f>
        <v>-24913.129999999997</v>
      </c>
      <c r="F194" s="118">
        <f>+F195+F196+F197+F198</f>
        <v>-27520</v>
      </c>
      <c r="G194" s="108"/>
    </row>
    <row r="195" spans="1:8" s="116" customFormat="1" ht="9" x14ac:dyDescent="0.2">
      <c r="A195" s="114" t="s">
        <v>104</v>
      </c>
      <c r="B195" s="120">
        <v>0</v>
      </c>
      <c r="C195" s="120">
        <v>-3744.02</v>
      </c>
      <c r="D195" s="120">
        <f>-3744.02-7094.64</f>
        <v>-10838.66</v>
      </c>
      <c r="E195" s="120">
        <f>-3744.02-7094.64-1009.47</f>
        <v>-11848.13</v>
      </c>
      <c r="F195" s="120">
        <f>-3744.02-7094.64-1009.47-2606.87</f>
        <v>-14455</v>
      </c>
      <c r="G195" s="115"/>
    </row>
    <row r="196" spans="1:8" s="116" customFormat="1" ht="9" x14ac:dyDescent="0.2">
      <c r="A196" s="114" t="s">
        <v>117</v>
      </c>
      <c r="B196" s="120">
        <v>0</v>
      </c>
      <c r="C196" s="120">
        <v>0</v>
      </c>
      <c r="D196" s="120">
        <v>-4000</v>
      </c>
      <c r="E196" s="120">
        <v>-4000</v>
      </c>
      <c r="F196" s="120">
        <v>-4000</v>
      </c>
      <c r="G196" s="115"/>
    </row>
    <row r="197" spans="1:8" s="116" customFormat="1" ht="9" x14ac:dyDescent="0.2">
      <c r="A197" s="114" t="s">
        <v>163</v>
      </c>
      <c r="B197" s="120">
        <v>0</v>
      </c>
      <c r="C197" s="120">
        <v>0</v>
      </c>
      <c r="D197" s="120">
        <v>0</v>
      </c>
      <c r="E197" s="120">
        <v>-1075</v>
      </c>
      <c r="F197" s="120">
        <v>-1075</v>
      </c>
      <c r="G197" s="115"/>
    </row>
    <row r="198" spans="1:8" s="116" customFormat="1" ht="9" x14ac:dyDescent="0.2">
      <c r="A198" s="114" t="s">
        <v>166</v>
      </c>
      <c r="B198" s="120">
        <v>0</v>
      </c>
      <c r="C198" s="120">
        <v>0</v>
      </c>
      <c r="D198" s="120">
        <v>0</v>
      </c>
      <c r="E198" s="120">
        <v>-7990</v>
      </c>
      <c r="F198" s="120">
        <v>-7990</v>
      </c>
      <c r="G198" s="115"/>
    </row>
    <row r="199" spans="1:8" s="38" customFormat="1" ht="13" x14ac:dyDescent="0.3">
      <c r="A199" s="72" t="s">
        <v>23</v>
      </c>
      <c r="B199" s="124">
        <v>-135</v>
      </c>
      <c r="C199" s="124">
        <v>-310</v>
      </c>
      <c r="D199" s="124">
        <v>-700</v>
      </c>
      <c r="E199" s="124">
        <v>-995</v>
      </c>
      <c r="F199" s="124">
        <v>-1360</v>
      </c>
      <c r="G199" s="86"/>
    </row>
    <row r="200" spans="1:8" s="38" customFormat="1" ht="13" x14ac:dyDescent="0.3">
      <c r="A200" s="72" t="s">
        <v>56</v>
      </c>
      <c r="B200" s="124">
        <v>0</v>
      </c>
      <c r="C200" s="124">
        <v>-750</v>
      </c>
      <c r="D200" s="124">
        <v>-2250</v>
      </c>
      <c r="E200" s="124">
        <v>-3000</v>
      </c>
      <c r="F200" s="124">
        <v>-4000</v>
      </c>
      <c r="G200" s="86"/>
    </row>
    <row r="201" spans="1:8" s="38" customFormat="1" ht="13" x14ac:dyDescent="0.3">
      <c r="A201" s="72" t="s">
        <v>68</v>
      </c>
      <c r="B201" s="124"/>
      <c r="C201" s="124"/>
      <c r="D201" s="124"/>
      <c r="E201" s="124"/>
      <c r="F201" s="124"/>
      <c r="G201" s="86"/>
    </row>
    <row r="202" spans="1:8" s="38" customFormat="1" ht="13" x14ac:dyDescent="0.3">
      <c r="A202" s="72" t="s">
        <v>110</v>
      </c>
      <c r="B202" s="124">
        <v>-2686.6666666666702</v>
      </c>
      <c r="C202" s="124">
        <v>-5373.34</v>
      </c>
      <c r="D202" s="124">
        <v>-8060.01</v>
      </c>
      <c r="E202" s="124">
        <v>-10746.68</v>
      </c>
      <c r="F202" s="124">
        <v>-13433.35</v>
      </c>
      <c r="G202" s="86"/>
    </row>
    <row r="203" spans="1:8" s="38" customFormat="1" ht="13" x14ac:dyDescent="0.3">
      <c r="A203" s="72" t="s">
        <v>71</v>
      </c>
      <c r="B203" s="124">
        <v>-1666.67</v>
      </c>
      <c r="C203" s="124">
        <v>-3333.34</v>
      </c>
      <c r="D203" s="124">
        <v>-4250.01</v>
      </c>
      <c r="E203" s="124">
        <v>-5666.68</v>
      </c>
      <c r="F203" s="124">
        <v>-7083.35</v>
      </c>
      <c r="G203" s="86"/>
      <c r="H203" s="148"/>
    </row>
    <row r="204" spans="1:8" x14ac:dyDescent="0.3">
      <c r="A204" s="50" t="s">
        <v>14</v>
      </c>
      <c r="B204" s="11">
        <f>+B186+B199+B188+B189+B200+B201+B202+B187+B203</f>
        <v>-212698.78666666668</v>
      </c>
      <c r="C204" s="11">
        <f>+C186+C199+C188+C189+C200+C201+C202+C187+C203</f>
        <v>-418016.51</v>
      </c>
      <c r="D204" s="11">
        <f>+D186+D199+D188+D189+D200+D201+D202+D187+D203</f>
        <v>-666483.31000000006</v>
      </c>
      <c r="E204" s="11">
        <f>+E186+E199+E188+E189+E200+E201+E202+E187+E203</f>
        <v>-939475.85000000021</v>
      </c>
      <c r="F204" s="11">
        <f>+F186+F199+F188+F189+F200+F201+F202+F187+F203</f>
        <v>-1244105.1200000001</v>
      </c>
      <c r="G204" s="36"/>
    </row>
    <row r="205" spans="1:8" x14ac:dyDescent="0.3">
      <c r="A205" s="23"/>
      <c r="B205" s="71"/>
      <c r="C205" s="71"/>
      <c r="D205" s="71"/>
      <c r="E205" s="71"/>
      <c r="F205" s="71"/>
      <c r="G205" s="36"/>
    </row>
    <row r="206" spans="1:8" x14ac:dyDescent="0.3">
      <c r="A206" s="16" t="s">
        <v>118</v>
      </c>
      <c r="B206" s="13">
        <f>+B183+B204</f>
        <v>-81468.716666666674</v>
      </c>
      <c r="C206" s="13">
        <f>+C183+C204</f>
        <v>-153968.54000000004</v>
      </c>
      <c r="D206" s="13">
        <f>+D183+D204</f>
        <v>-206393.0500000001</v>
      </c>
      <c r="E206" s="13">
        <f>+E183+E204</f>
        <v>-235079.91000000015</v>
      </c>
      <c r="F206" s="13">
        <f>+F183+F204</f>
        <v>-270588.26000000013</v>
      </c>
      <c r="G206" s="84"/>
    </row>
    <row r="207" spans="1:8" x14ac:dyDescent="0.3">
      <c r="A207" s="77"/>
      <c r="B207" s="40"/>
      <c r="C207" s="40"/>
      <c r="D207" s="40"/>
      <c r="E207" s="40"/>
      <c r="F207" s="40"/>
      <c r="G207" s="84"/>
    </row>
    <row r="208" spans="1:8" x14ac:dyDescent="0.3">
      <c r="A208" s="78" t="s">
        <v>54</v>
      </c>
      <c r="B208" s="11">
        <v>-218440.76999999996</v>
      </c>
      <c r="C208" s="11">
        <v>-363448.31</v>
      </c>
      <c r="D208" s="11">
        <v>-498926</v>
      </c>
      <c r="E208" s="11">
        <v>-376189.44999999995</v>
      </c>
      <c r="F208" s="11">
        <v>-362157.51000000024</v>
      </c>
      <c r="G208" s="151"/>
    </row>
    <row r="209" spans="1:7" x14ac:dyDescent="0.3">
      <c r="A209" s="10"/>
      <c r="B209" s="41"/>
      <c r="C209" s="41"/>
      <c r="D209" s="41"/>
      <c r="E209" s="41"/>
      <c r="F209" s="41"/>
      <c r="G209" s="84"/>
    </row>
    <row r="210" spans="1:7" x14ac:dyDescent="0.3">
      <c r="A210" s="42" t="s">
        <v>119</v>
      </c>
      <c r="B210" s="13">
        <f>+B206+B208</f>
        <v>-299909.48666666663</v>
      </c>
      <c r="C210" s="13">
        <f>+C206+C208</f>
        <v>-517416.85000000003</v>
      </c>
      <c r="D210" s="13">
        <f>+D206+D208</f>
        <v>-705319.05</v>
      </c>
      <c r="E210" s="13">
        <f>+E206+E208</f>
        <v>-611269.3600000001</v>
      </c>
      <c r="F210" s="13">
        <f>+F206+F208</f>
        <v>-632745.77000000037</v>
      </c>
      <c r="G210" s="90"/>
    </row>
    <row r="211" spans="1:7" x14ac:dyDescent="0.3">
      <c r="G211" s="90"/>
    </row>
    <row r="212" spans="1:7" x14ac:dyDescent="0.3">
      <c r="A212" s="3"/>
      <c r="B212" s="93">
        <f>+B88-B145</f>
        <v>-3.3333338797092438E-3</v>
      </c>
      <c r="C212" s="93">
        <f>+C88-C145</f>
        <v>0</v>
      </c>
      <c r="D212" s="93">
        <f>+D88-D145</f>
        <v>0</v>
      </c>
      <c r="E212" s="93">
        <f>+E88-E145</f>
        <v>0</v>
      </c>
      <c r="F212" s="93">
        <f>+F88-F145</f>
        <v>0</v>
      </c>
      <c r="G212" s="90"/>
    </row>
    <row r="214" spans="1:7" x14ac:dyDescent="0.3">
      <c r="C214" s="177"/>
      <c r="D214" s="177"/>
      <c r="E214" s="177"/>
      <c r="F214" s="177"/>
    </row>
    <row r="217" spans="1:7" x14ac:dyDescent="0.3">
      <c r="B217" s="177"/>
    </row>
  </sheetData>
  <phoneticPr fontId="2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I87"/>
  <sheetViews>
    <sheetView showGridLines="0" topLeftCell="A62" workbookViewId="0">
      <selection activeCell="D83" sqref="D83"/>
    </sheetView>
  </sheetViews>
  <sheetFormatPr defaultColWidth="10.90625" defaultRowHeight="12.5" x14ac:dyDescent="0.25"/>
  <cols>
    <col min="2" max="2" width="43.54296875" customWidth="1"/>
    <col min="3" max="3" width="2.453125" customWidth="1"/>
    <col min="4" max="4" width="12.90625" customWidth="1"/>
    <col min="5" max="7" width="13.08984375" customWidth="1"/>
    <col min="8" max="9" width="15.453125" bestFit="1" customWidth="1"/>
  </cols>
  <sheetData>
    <row r="3" spans="2:9" ht="13" x14ac:dyDescent="0.3">
      <c r="B3" s="170">
        <v>44255</v>
      </c>
    </row>
    <row r="4" spans="2:9" ht="13" x14ac:dyDescent="0.3">
      <c r="B4" s="163" t="s">
        <v>145</v>
      </c>
      <c r="C4" s="163"/>
      <c r="D4" s="165" t="s">
        <v>140</v>
      </c>
      <c r="E4" s="165" t="s">
        <v>140</v>
      </c>
      <c r="G4" s="165" t="s">
        <v>141</v>
      </c>
    </row>
    <row r="5" spans="2:9" ht="13" x14ac:dyDescent="0.3">
      <c r="D5" s="166" t="s">
        <v>143</v>
      </c>
      <c r="E5" s="166" t="s">
        <v>142</v>
      </c>
      <c r="F5" s="165" t="s">
        <v>144</v>
      </c>
      <c r="G5" s="166"/>
    </row>
    <row r="7" spans="2:9" x14ac:dyDescent="0.25">
      <c r="B7" s="164" t="s">
        <v>135</v>
      </c>
      <c r="C7" s="164"/>
      <c r="D7" s="167">
        <v>388.88888888888891</v>
      </c>
      <c r="E7" s="167">
        <v>7527.79</v>
      </c>
      <c r="F7" s="167">
        <v>-6708.33</v>
      </c>
      <c r="G7" s="167">
        <f>+E7+F7</f>
        <v>819.46</v>
      </c>
    </row>
    <row r="8" spans="2:9" x14ac:dyDescent="0.25">
      <c r="B8" s="164" t="s">
        <v>136</v>
      </c>
      <c r="C8" s="164"/>
      <c r="D8" s="167">
        <v>388.88888888888891</v>
      </c>
      <c r="E8" s="167">
        <v>7527</v>
      </c>
      <c r="F8" s="167">
        <v>-7527</v>
      </c>
      <c r="G8" s="167">
        <f t="shared" ref="G8:G11" si="0">+E8+F8</f>
        <v>0</v>
      </c>
    </row>
    <row r="9" spans="2:9" x14ac:dyDescent="0.25">
      <c r="B9" s="164" t="s">
        <v>137</v>
      </c>
      <c r="C9" s="164"/>
      <c r="D9" s="167">
        <v>41.67</v>
      </c>
      <c r="E9" s="167">
        <v>791.66666666666663</v>
      </c>
      <c r="F9" s="167"/>
      <c r="G9" s="167">
        <f t="shared" si="0"/>
        <v>791.66666666666663</v>
      </c>
      <c r="I9" s="169"/>
    </row>
    <row r="10" spans="2:9" x14ac:dyDescent="0.25">
      <c r="B10" s="164" t="s">
        <v>138</v>
      </c>
      <c r="C10" s="164"/>
      <c r="D10" s="171">
        <f>7777.77777777778+277.78</f>
        <v>8055.5577777777798</v>
      </c>
      <c r="E10" s="167">
        <v>23055.555555555555</v>
      </c>
      <c r="F10" s="167"/>
      <c r="G10" s="167">
        <f t="shared" si="0"/>
        <v>23055.555555555555</v>
      </c>
    </row>
    <row r="11" spans="2:9" x14ac:dyDescent="0.25">
      <c r="B11" s="164" t="s">
        <v>139</v>
      </c>
      <c r="C11" s="164"/>
      <c r="D11" s="171">
        <v>2638.8888888888891</v>
      </c>
      <c r="E11" s="167">
        <v>2638.8888888888891</v>
      </c>
      <c r="F11" s="167"/>
      <c r="G11" s="167">
        <f t="shared" si="0"/>
        <v>2638.8888888888891</v>
      </c>
    </row>
    <row r="12" spans="2:9" ht="13.5" thickBot="1" x14ac:dyDescent="0.35">
      <c r="D12" s="168">
        <f t="shared" ref="D12:F12" si="1">SUM(D7:D11)</f>
        <v>11513.894444444446</v>
      </c>
      <c r="E12" s="168">
        <f t="shared" si="1"/>
        <v>41540.90111111111</v>
      </c>
      <c r="F12" s="168">
        <f t="shared" si="1"/>
        <v>-14235.33</v>
      </c>
      <c r="G12" s="168">
        <f>SUM(G7:G11)</f>
        <v>27305.571111111112</v>
      </c>
      <c r="H12">
        <f>+'2021'!C97</f>
        <v>27305.58</v>
      </c>
      <c r="I12" s="169">
        <f>+H12-G12</f>
        <v>8.8888888894871343E-3</v>
      </c>
    </row>
    <row r="13" spans="2:9" ht="13" thickTop="1" x14ac:dyDescent="0.25">
      <c r="D13" s="167"/>
      <c r="E13" s="167"/>
      <c r="F13" s="167"/>
      <c r="G13" s="167"/>
    </row>
    <row r="16" spans="2:9" ht="13" x14ac:dyDescent="0.3">
      <c r="B16" s="170">
        <f>+B3</f>
        <v>44255</v>
      </c>
    </row>
    <row r="17" spans="2:9" ht="13" x14ac:dyDescent="0.3">
      <c r="B17" s="163" t="s">
        <v>146</v>
      </c>
      <c r="C17" s="163"/>
      <c r="D17" s="165" t="s">
        <v>140</v>
      </c>
      <c r="E17" s="165" t="s">
        <v>140</v>
      </c>
      <c r="G17" s="165" t="s">
        <v>147</v>
      </c>
    </row>
    <row r="18" spans="2:9" ht="13" x14ac:dyDescent="0.3">
      <c r="D18" s="166" t="s">
        <v>143</v>
      </c>
      <c r="E18" s="166" t="s">
        <v>142</v>
      </c>
      <c r="F18" s="165" t="s">
        <v>144</v>
      </c>
      <c r="G18" s="166"/>
    </row>
    <row r="20" spans="2:9" x14ac:dyDescent="0.25">
      <c r="B20" s="164" t="s">
        <v>135</v>
      </c>
      <c r="C20" s="164"/>
      <c r="D20" s="167">
        <v>591.54929577464782</v>
      </c>
      <c r="E20" s="167">
        <v>1669.0140845070421</v>
      </c>
      <c r="F20" s="167">
        <v>-60000</v>
      </c>
      <c r="G20" s="167">
        <f>+E20+F20</f>
        <v>-58330.985915492958</v>
      </c>
    </row>
    <row r="21" spans="2:9" x14ac:dyDescent="0.25">
      <c r="B21" s="164" t="s">
        <v>136</v>
      </c>
      <c r="C21" s="164"/>
      <c r="D21" s="167">
        <v>528.99329185958106</v>
      </c>
      <c r="E21" s="167">
        <v>1432.9280667620978</v>
      </c>
      <c r="F21" s="167">
        <v>-60000</v>
      </c>
      <c r="G21" s="167">
        <f t="shared" ref="G21:G24" si="2">+E21+F21</f>
        <v>-58567.071933237901</v>
      </c>
    </row>
    <row r="22" spans="2:9" x14ac:dyDescent="0.25">
      <c r="B22" s="164" t="s">
        <v>137</v>
      </c>
      <c r="C22" s="164"/>
      <c r="D22" s="167">
        <v>147.99154334038053</v>
      </c>
      <c r="E22" s="167">
        <v>459.83086680761102</v>
      </c>
      <c r="F22" s="167">
        <v>-15000</v>
      </c>
      <c r="G22" s="167">
        <f t="shared" si="2"/>
        <v>-14540.169133192388</v>
      </c>
      <c r="I22" s="169"/>
    </row>
    <row r="23" spans="2:9" x14ac:dyDescent="0.25">
      <c r="B23" s="164" t="s">
        <v>139</v>
      </c>
      <c r="C23" s="164"/>
      <c r="D23" s="171">
        <v>328.64864864864865</v>
      </c>
      <c r="E23" s="167">
        <v>328.64864864864865</v>
      </c>
      <c r="F23" s="167">
        <v>-38000</v>
      </c>
      <c r="G23" s="167">
        <f t="shared" si="2"/>
        <v>-37671.351351351354</v>
      </c>
    </row>
    <row r="24" spans="2:9" x14ac:dyDescent="0.25">
      <c r="B24" s="164" t="s">
        <v>148</v>
      </c>
      <c r="C24" s="164"/>
      <c r="D24" s="171">
        <v>978.33682739343112</v>
      </c>
      <c r="E24" s="167">
        <v>3529.0006988120194</v>
      </c>
      <c r="F24" s="167">
        <v>-100000</v>
      </c>
      <c r="G24" s="167">
        <f t="shared" si="2"/>
        <v>-96470.999301187985</v>
      </c>
    </row>
    <row r="25" spans="2:9" ht="13.5" thickBot="1" x14ac:dyDescent="0.35">
      <c r="C25" s="168">
        <f>SUM(C20:C24)</f>
        <v>0</v>
      </c>
      <c r="D25" s="168">
        <f>SUM(D20:D24)</f>
        <v>2575.519607016689</v>
      </c>
      <c r="E25" s="168">
        <f>SUM(E20:E24)</f>
        <v>7419.422365537419</v>
      </c>
      <c r="F25" s="168">
        <f>SUM(F20:F24)</f>
        <v>-273000</v>
      </c>
      <c r="G25" s="168">
        <f>SUM(G20:G24)</f>
        <v>-265580.57763446262</v>
      </c>
      <c r="H25">
        <f>+'2021'!C125</f>
        <v>-265580.57</v>
      </c>
      <c r="I25" s="169">
        <f>+H25-G25</f>
        <v>7.6344626140780747E-3</v>
      </c>
    </row>
    <row r="26" spans="2:9" ht="13" thickTop="1" x14ac:dyDescent="0.25"/>
    <row r="27" spans="2:9" x14ac:dyDescent="0.25">
      <c r="D27" s="169">
        <f>+D25+D12</f>
        <v>14089.414051461135</v>
      </c>
    </row>
    <row r="28" spans="2:9" x14ac:dyDescent="0.25">
      <c r="D28">
        <f>-'2021'!C158</f>
        <v>14089.42</v>
      </c>
    </row>
    <row r="29" spans="2:9" x14ac:dyDescent="0.25">
      <c r="D29" s="169">
        <f>+D28-D27</f>
        <v>5.9485388646862702E-3</v>
      </c>
    </row>
    <row r="33" spans="2:9" ht="13" x14ac:dyDescent="0.3">
      <c r="B33" s="170">
        <v>44286</v>
      </c>
    </row>
    <row r="34" spans="2:9" ht="13" x14ac:dyDescent="0.3">
      <c r="B34" s="163" t="s">
        <v>145</v>
      </c>
      <c r="C34" s="163"/>
      <c r="D34" s="165" t="s">
        <v>140</v>
      </c>
      <c r="E34" s="165" t="s">
        <v>140</v>
      </c>
      <c r="G34" s="165" t="s">
        <v>141</v>
      </c>
    </row>
    <row r="35" spans="2:9" ht="13" x14ac:dyDescent="0.3">
      <c r="D35" s="166" t="s">
        <v>143</v>
      </c>
      <c r="E35" s="166" t="s">
        <v>142</v>
      </c>
      <c r="F35" s="165" t="s">
        <v>144</v>
      </c>
      <c r="G35" s="166"/>
    </row>
    <row r="37" spans="2:9" x14ac:dyDescent="0.25">
      <c r="B37" s="164" t="s">
        <v>135</v>
      </c>
      <c r="C37" s="164"/>
      <c r="D37" s="167">
        <v>430.55555555555554</v>
      </c>
      <c r="E37" s="167">
        <v>1250</v>
      </c>
      <c r="F37" s="167">
        <v>0</v>
      </c>
      <c r="G37" s="167">
        <f>+E37+F37</f>
        <v>1250</v>
      </c>
    </row>
    <row r="38" spans="2:9" x14ac:dyDescent="0.25">
      <c r="B38" s="164" t="s">
        <v>136</v>
      </c>
      <c r="C38" s="164"/>
      <c r="D38" s="167">
        <v>430.55555555555554</v>
      </c>
      <c r="E38" s="167">
        <v>430.55555555555554</v>
      </c>
      <c r="F38" s="167">
        <v>0</v>
      </c>
      <c r="G38" s="167">
        <f t="shared" ref="G38:G40" si="3">+E38+F38</f>
        <v>430.55555555555554</v>
      </c>
    </row>
    <row r="39" spans="2:9" x14ac:dyDescent="0.25">
      <c r="B39" s="164" t="s">
        <v>138</v>
      </c>
      <c r="C39" s="164"/>
      <c r="D39" s="171">
        <v>8611.1111111111113</v>
      </c>
      <c r="E39" s="167">
        <v>31666.666666666664</v>
      </c>
      <c r="F39" s="167">
        <v>-28611.111111111099</v>
      </c>
      <c r="G39" s="167">
        <f t="shared" si="3"/>
        <v>3055.5555555555657</v>
      </c>
    </row>
    <row r="40" spans="2:9" x14ac:dyDescent="0.25">
      <c r="B40" s="164" t="s">
        <v>139</v>
      </c>
      <c r="C40" s="164"/>
      <c r="D40" s="171">
        <v>3272.2222222222222</v>
      </c>
      <c r="E40" s="167">
        <v>5911.1111111111113</v>
      </c>
      <c r="F40" s="167">
        <v>-3588.8888888888901</v>
      </c>
      <c r="G40" s="167">
        <f t="shared" si="3"/>
        <v>2322.2222222222213</v>
      </c>
    </row>
    <row r="41" spans="2:9" ht="13.5" thickBot="1" x14ac:dyDescent="0.35">
      <c r="D41" s="168">
        <f>SUM(D37:D40)</f>
        <v>12744.444444444445</v>
      </c>
      <c r="E41" s="168">
        <f>SUM(E37:E40)</f>
        <v>39258.333333333328</v>
      </c>
      <c r="F41" s="168">
        <f>SUM(F37:F40)</f>
        <v>-32199.999999999989</v>
      </c>
      <c r="G41" s="168">
        <f>SUM(G37:G40)</f>
        <v>7058.333333333343</v>
      </c>
      <c r="H41">
        <f>+'2021'!D97</f>
        <v>7058.37</v>
      </c>
      <c r="I41" s="173">
        <f>+H41-G41</f>
        <v>3.666666665685625E-2</v>
      </c>
    </row>
    <row r="42" spans="2:9" ht="13" thickTop="1" x14ac:dyDescent="0.25">
      <c r="D42" s="167"/>
      <c r="E42" s="167"/>
      <c r="F42" s="167"/>
      <c r="G42" s="167"/>
    </row>
    <row r="45" spans="2:9" ht="13" x14ac:dyDescent="0.3">
      <c r="B45" s="170">
        <f>+B33</f>
        <v>44286</v>
      </c>
    </row>
    <row r="46" spans="2:9" ht="13" x14ac:dyDescent="0.3">
      <c r="B46" s="163" t="s">
        <v>146</v>
      </c>
      <c r="C46" s="163"/>
      <c r="D46" s="165" t="s">
        <v>140</v>
      </c>
      <c r="E46" s="165" t="s">
        <v>140</v>
      </c>
      <c r="G46" s="165" t="s">
        <v>147</v>
      </c>
    </row>
    <row r="47" spans="2:9" ht="13" x14ac:dyDescent="0.3">
      <c r="D47" s="166" t="s">
        <v>143</v>
      </c>
      <c r="E47" s="166" t="s">
        <v>142</v>
      </c>
      <c r="F47" s="165" t="s">
        <v>144</v>
      </c>
      <c r="G47" s="166"/>
    </row>
    <row r="49" spans="2:9" x14ac:dyDescent="0.25">
      <c r="B49" s="164" t="s">
        <v>135</v>
      </c>
      <c r="C49" s="164"/>
      <c r="D49" s="167">
        <v>654.92957746478874</v>
      </c>
      <c r="E49" s="167">
        <v>2323.9436619718308</v>
      </c>
      <c r="F49" s="167">
        <v>-60000</v>
      </c>
      <c r="G49" s="167">
        <f>+E49+F49</f>
        <v>-57676.056338028167</v>
      </c>
    </row>
    <row r="50" spans="2:9" x14ac:dyDescent="0.25">
      <c r="B50" s="164" t="s">
        <v>136</v>
      </c>
      <c r="C50" s="164"/>
      <c r="D50" s="167">
        <v>662.13684534295226</v>
      </c>
      <c r="E50" s="167">
        <v>2095.0649121050501</v>
      </c>
      <c r="F50" s="167">
        <v>-60000</v>
      </c>
      <c r="G50" s="167">
        <f t="shared" ref="G50:G53" si="4">+E50+F50</f>
        <v>-57904.935087894948</v>
      </c>
    </row>
    <row r="51" spans="2:9" x14ac:dyDescent="0.25">
      <c r="B51" s="164" t="s">
        <v>137</v>
      </c>
      <c r="C51" s="164"/>
      <c r="D51" s="167">
        <v>163.84778012684995</v>
      </c>
      <c r="E51" s="167">
        <v>623.67864693446097</v>
      </c>
      <c r="F51" s="167">
        <v>-15000</v>
      </c>
      <c r="G51" s="167">
        <f t="shared" si="4"/>
        <v>-14376.321353065539</v>
      </c>
      <c r="I51" s="169"/>
    </row>
    <row r="52" spans="2:9" x14ac:dyDescent="0.25">
      <c r="B52" s="164" t="s">
        <v>139</v>
      </c>
      <c r="C52" s="164"/>
      <c r="D52" s="171">
        <v>424.50450450450455</v>
      </c>
      <c r="E52" s="167">
        <v>753.1531531531532</v>
      </c>
      <c r="F52" s="167">
        <v>-38000</v>
      </c>
      <c r="G52" s="167">
        <f t="shared" si="4"/>
        <v>-37246.846846846849</v>
      </c>
    </row>
    <row r="53" spans="2:9" x14ac:dyDescent="0.25">
      <c r="B53" s="164" t="s">
        <v>148</v>
      </c>
      <c r="C53" s="164"/>
      <c r="D53" s="171">
        <v>1083.1586303284412</v>
      </c>
      <c r="E53" s="167">
        <v>4612.1593291404606</v>
      </c>
      <c r="F53" s="167">
        <v>-100000</v>
      </c>
      <c r="G53" s="167">
        <f t="shared" si="4"/>
        <v>-95387.840670859543</v>
      </c>
    </row>
    <row r="54" spans="2:9" ht="13.5" thickBot="1" x14ac:dyDescent="0.35">
      <c r="C54" s="168">
        <f>SUM(C49:C53)</f>
        <v>0</v>
      </c>
      <c r="D54" s="168">
        <f>SUM(D49:D53)</f>
        <v>2988.5773377675368</v>
      </c>
      <c r="E54" s="168">
        <f>SUM(E49:E53)</f>
        <v>10407.999703304955</v>
      </c>
      <c r="F54" s="168">
        <f>SUM(F49:F53)</f>
        <v>-273000</v>
      </c>
      <c r="G54" s="168">
        <f>SUM(G49:G53)</f>
        <v>-262592.00029669504</v>
      </c>
      <c r="H54">
        <f>+'2021'!D125</f>
        <v>-262591.99</v>
      </c>
      <c r="I54" s="169">
        <f>+H54-G54</f>
        <v>1.0296695050783455E-2</v>
      </c>
    </row>
    <row r="55" spans="2:9" ht="13" thickTop="1" x14ac:dyDescent="0.25"/>
    <row r="56" spans="2:9" x14ac:dyDescent="0.25">
      <c r="D56" s="169">
        <f>+D54+D41</f>
        <v>15733.021782211981</v>
      </c>
    </row>
    <row r="57" spans="2:9" x14ac:dyDescent="0.25">
      <c r="D57">
        <f>-'2021'!D158</f>
        <v>15733.04</v>
      </c>
    </row>
    <row r="58" spans="2:9" x14ac:dyDescent="0.25">
      <c r="D58" s="169">
        <f>+D57-D56</f>
        <v>1.8217788019683212E-2</v>
      </c>
    </row>
    <row r="61" spans="2:9" ht="13" x14ac:dyDescent="0.3">
      <c r="B61" s="170">
        <v>44316</v>
      </c>
    </row>
    <row r="62" spans="2:9" ht="13" x14ac:dyDescent="0.3">
      <c r="B62" s="163" t="s">
        <v>145</v>
      </c>
      <c r="C62" s="163"/>
      <c r="D62" s="165" t="s">
        <v>140</v>
      </c>
      <c r="E62" s="165" t="s">
        <v>140</v>
      </c>
      <c r="G62" s="165" t="s">
        <v>141</v>
      </c>
    </row>
    <row r="63" spans="2:9" ht="13" x14ac:dyDescent="0.3">
      <c r="D63" s="166" t="s">
        <v>143</v>
      </c>
      <c r="E63" s="166" t="s">
        <v>142</v>
      </c>
      <c r="F63" s="165" t="s">
        <v>144</v>
      </c>
      <c r="G63" s="166"/>
    </row>
    <row r="65" spans="2:9" x14ac:dyDescent="0.25">
      <c r="B65" s="164" t="s">
        <v>135</v>
      </c>
      <c r="C65" s="164"/>
      <c r="D65" s="167">
        <v>416.66666666666669</v>
      </c>
      <c r="E65" s="167">
        <v>1666.6666666666667</v>
      </c>
      <c r="F65" s="167">
        <v>0</v>
      </c>
      <c r="G65" s="167">
        <f>+E65+F65</f>
        <v>1666.6666666666667</v>
      </c>
    </row>
    <row r="66" spans="2:9" x14ac:dyDescent="0.25">
      <c r="B66" s="164" t="s">
        <v>136</v>
      </c>
      <c r="C66" s="164"/>
      <c r="D66" s="167">
        <v>416.66666666666669</v>
      </c>
      <c r="E66" s="167">
        <v>847.22222222222217</v>
      </c>
      <c r="F66" s="167">
        <v>0</v>
      </c>
      <c r="G66" s="167">
        <f t="shared" ref="G66:G68" si="5">+E66+F66</f>
        <v>847.22222222222217</v>
      </c>
    </row>
    <row r="67" spans="2:9" x14ac:dyDescent="0.25">
      <c r="B67" s="164" t="s">
        <v>138</v>
      </c>
      <c r="C67" s="164"/>
      <c r="D67" s="171">
        <v>7458.333333333333</v>
      </c>
      <c r="E67" s="167">
        <v>39125</v>
      </c>
      <c r="F67" s="167">
        <v>-28611.111111111099</v>
      </c>
      <c r="G67" s="167">
        <f t="shared" si="5"/>
        <v>10513.888888888901</v>
      </c>
    </row>
    <row r="68" spans="2:9" x14ac:dyDescent="0.25">
      <c r="B68" s="164" t="s">
        <v>139</v>
      </c>
      <c r="C68" s="164"/>
      <c r="D68" s="171">
        <v>2916.666666666667</v>
      </c>
      <c r="E68" s="167">
        <v>8827.7777777777774</v>
      </c>
      <c r="F68" s="167">
        <v>-3588.8888888888901</v>
      </c>
      <c r="G68" s="167">
        <f t="shared" si="5"/>
        <v>5238.8888888888869</v>
      </c>
    </row>
    <row r="69" spans="2:9" ht="13.5" thickBot="1" x14ac:dyDescent="0.35">
      <c r="D69" s="168">
        <f>SUM(D65:D68)</f>
        <v>11208.333333333332</v>
      </c>
      <c r="E69" s="168">
        <f>SUM(E65:E68)</f>
        <v>50466.666666666672</v>
      </c>
      <c r="F69" s="168">
        <f>SUM(F65:F68)</f>
        <v>-32199.999999999989</v>
      </c>
      <c r="G69" s="168">
        <f>SUM(G65:G68)</f>
        <v>18266.666666666679</v>
      </c>
      <c r="H69" s="175">
        <f>+'2021'!E97</f>
        <v>18266.71</v>
      </c>
      <c r="I69" s="175">
        <f>+H69-G69</f>
        <v>4.3333333320333622E-2</v>
      </c>
    </row>
    <row r="70" spans="2:9" ht="13" thickTop="1" x14ac:dyDescent="0.25">
      <c r="D70" s="167"/>
      <c r="E70" s="167"/>
      <c r="F70" s="167"/>
      <c r="G70" s="167"/>
    </row>
    <row r="73" spans="2:9" ht="13" x14ac:dyDescent="0.3">
      <c r="B73" s="170">
        <f>+B61</f>
        <v>44316</v>
      </c>
    </row>
    <row r="74" spans="2:9" ht="13" x14ac:dyDescent="0.3">
      <c r="B74" s="163" t="s">
        <v>164</v>
      </c>
      <c r="C74" s="163"/>
      <c r="D74" s="165" t="s">
        <v>140</v>
      </c>
      <c r="E74" s="165" t="s">
        <v>140</v>
      </c>
      <c r="G74" s="165" t="s">
        <v>147</v>
      </c>
    </row>
    <row r="75" spans="2:9" ht="13" x14ac:dyDescent="0.3">
      <c r="D75" s="166" t="s">
        <v>143</v>
      </c>
      <c r="E75" s="166" t="s">
        <v>142</v>
      </c>
      <c r="F75" s="165" t="s">
        <v>144</v>
      </c>
      <c r="G75" s="166"/>
    </row>
    <row r="77" spans="2:9" x14ac:dyDescent="0.25">
      <c r="B77" s="164" t="s">
        <v>135</v>
      </c>
      <c r="C77" s="164"/>
      <c r="D77" s="167">
        <v>633.80281690140828</v>
      </c>
      <c r="E77" s="167">
        <v>2957.7464788732391</v>
      </c>
      <c r="F77" s="167">
        <v>-60000</v>
      </c>
      <c r="G77" s="167">
        <f>+E77+F77</f>
        <v>-57042.25352112676</v>
      </c>
    </row>
    <row r="78" spans="2:9" x14ac:dyDescent="0.25">
      <c r="B78" s="164" t="s">
        <v>136</v>
      </c>
      <c r="C78" s="164"/>
      <c r="D78" s="167">
        <v>640.77759226737317</v>
      </c>
      <c r="E78" s="167">
        <v>2735.8425043724233</v>
      </c>
      <c r="F78" s="167">
        <v>-60000</v>
      </c>
      <c r="G78" s="167">
        <f t="shared" ref="G78:G82" si="6">+E78+F78</f>
        <v>-57264.15749562758</v>
      </c>
    </row>
    <row r="79" spans="2:9" x14ac:dyDescent="0.25">
      <c r="B79" s="164" t="s">
        <v>165</v>
      </c>
      <c r="C79" s="164"/>
      <c r="D79" s="167">
        <v>158.56236786469344</v>
      </c>
      <c r="E79" s="167">
        <v>782.24101479915441</v>
      </c>
      <c r="F79" s="167">
        <v>-15000</v>
      </c>
      <c r="G79" s="167">
        <f t="shared" si="6"/>
        <v>-14217.758985200846</v>
      </c>
      <c r="I79" s="169"/>
    </row>
    <row r="80" spans="2:9" x14ac:dyDescent="0.25">
      <c r="B80" s="164" t="s">
        <v>139</v>
      </c>
      <c r="C80" s="164"/>
      <c r="D80" s="171">
        <v>410.81081081081084</v>
      </c>
      <c r="E80" s="167">
        <v>1163.963963963964</v>
      </c>
      <c r="F80" s="167">
        <v>-38000</v>
      </c>
      <c r="G80" s="167">
        <f t="shared" si="6"/>
        <v>-36836.036036036036</v>
      </c>
    </row>
    <row r="81" spans="2:9" x14ac:dyDescent="0.25">
      <c r="B81" s="164" t="s">
        <v>148</v>
      </c>
      <c r="C81" s="164"/>
      <c r="D81" s="171">
        <v>1048.2180293501051</v>
      </c>
      <c r="E81" s="167">
        <v>5660.3773584905657</v>
      </c>
      <c r="F81" s="167">
        <v>-100000</v>
      </c>
      <c r="G81" s="167">
        <f t="shared" si="6"/>
        <v>-94339.622641509428</v>
      </c>
    </row>
    <row r="82" spans="2:9" x14ac:dyDescent="0.25">
      <c r="B82" s="164" t="s">
        <v>138</v>
      </c>
      <c r="C82" s="164"/>
      <c r="D82" s="171">
        <v>147.71048744460856</v>
      </c>
      <c r="E82" s="167">
        <v>147.71048744460856</v>
      </c>
      <c r="F82" s="167">
        <v>-50000</v>
      </c>
      <c r="G82" s="167">
        <f t="shared" si="6"/>
        <v>-49852.289512555391</v>
      </c>
    </row>
    <row r="83" spans="2:9" ht="13.5" thickBot="1" x14ac:dyDescent="0.35">
      <c r="C83" s="168">
        <f>SUM(C77:C81)</f>
        <v>0</v>
      </c>
      <c r="D83" s="168">
        <f>SUM(D77:D82)</f>
        <v>3039.8821046389994</v>
      </c>
      <c r="E83" s="168">
        <f t="shared" ref="E83:G83" si="7">SUM(E77:E82)</f>
        <v>13447.881807943955</v>
      </c>
      <c r="F83" s="168">
        <f t="shared" si="7"/>
        <v>-323000</v>
      </c>
      <c r="G83" s="168">
        <f t="shared" si="7"/>
        <v>-309552.11819205602</v>
      </c>
      <c r="H83">
        <f>+'2021'!E125</f>
        <v>-309552.11</v>
      </c>
      <c r="I83" s="169">
        <f>+H83-G83</f>
        <v>8.1920560332946479E-3</v>
      </c>
    </row>
    <row r="84" spans="2:9" ht="13" thickTop="1" x14ac:dyDescent="0.25"/>
    <row r="85" spans="2:9" x14ac:dyDescent="0.25">
      <c r="D85" s="169">
        <f>+D83+D69</f>
        <v>14248.215437972332</v>
      </c>
    </row>
    <row r="86" spans="2:9" x14ac:dyDescent="0.25">
      <c r="D86">
        <f>-'2021'!E158</f>
        <v>14248.220000000001</v>
      </c>
    </row>
    <row r="87" spans="2:9" x14ac:dyDescent="0.25">
      <c r="D87" s="169">
        <f>+D86-D85</f>
        <v>4.562027668725932E-3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3"/>
  <sheetViews>
    <sheetView showGridLines="0" zoomScale="115" zoomScaleNormal="115" workbookViewId="0">
      <selection activeCell="D8" sqref="D8"/>
    </sheetView>
  </sheetViews>
  <sheetFormatPr defaultColWidth="11.453125" defaultRowHeight="10" outlineLevelRow="1" x14ac:dyDescent="0.2"/>
  <cols>
    <col min="1" max="1" width="11.54296875" style="37" customWidth="1"/>
    <col min="2" max="2" width="20.54296875" style="37" customWidth="1"/>
    <col min="3" max="4" width="15.36328125" style="57" customWidth="1"/>
    <col min="5" max="5" width="13.36328125" style="57" customWidth="1"/>
    <col min="6" max="6" width="15.36328125" style="37" customWidth="1"/>
    <col min="7" max="7" width="15.453125" style="37" customWidth="1"/>
    <col min="8" max="8" width="15.453125" style="45" customWidth="1"/>
    <col min="9" max="16384" width="11.453125" style="37"/>
  </cols>
  <sheetData>
    <row r="1" spans="1:9" ht="34.5" x14ac:dyDescent="0.25">
      <c r="A1" s="32" t="s">
        <v>36</v>
      </c>
      <c r="B1" s="33" t="s">
        <v>37</v>
      </c>
      <c r="C1" s="34" t="s">
        <v>38</v>
      </c>
      <c r="D1" s="34" t="s">
        <v>39</v>
      </c>
      <c r="E1" s="174" t="s">
        <v>101</v>
      </c>
      <c r="F1" s="34" t="s">
        <v>31</v>
      </c>
    </row>
    <row r="2" spans="1:9" outlineLevel="1" x14ac:dyDescent="0.2">
      <c r="A2" s="92" t="s">
        <v>33</v>
      </c>
      <c r="B2" s="37" t="s">
        <v>152</v>
      </c>
      <c r="C2" s="55">
        <f>+'2021'!F15</f>
        <v>5000000</v>
      </c>
      <c r="D2" s="55">
        <f>+'2021'!F16</f>
        <v>164871.62</v>
      </c>
      <c r="E2" s="55">
        <f>+'2021'!F17</f>
        <v>-36138.89</v>
      </c>
      <c r="F2" s="55">
        <f>+C2+D2+E2</f>
        <v>5128732.7300000004</v>
      </c>
      <c r="I2" s="88"/>
    </row>
    <row r="3" spans="1:9" outlineLevel="1" x14ac:dyDescent="0.2">
      <c r="A3" s="92"/>
      <c r="B3" s="37" t="s">
        <v>153</v>
      </c>
      <c r="C3" s="55">
        <f>+'2021'!F19</f>
        <v>4000000</v>
      </c>
      <c r="D3" s="55">
        <f>+'2021'!F20</f>
        <v>96257.24</v>
      </c>
      <c r="E3" s="55">
        <f>+'2021'!F21</f>
        <v>-37472.22</v>
      </c>
      <c r="F3" s="55">
        <f>+C3+D3+E3</f>
        <v>4058785.02</v>
      </c>
      <c r="I3" s="88"/>
    </row>
    <row r="4" spans="1:9" ht="10.5" x14ac:dyDescent="0.25">
      <c r="A4" s="322" t="s">
        <v>40</v>
      </c>
      <c r="B4" s="326"/>
      <c r="C4" s="56">
        <f>+SUM(C2:C3)</f>
        <v>9000000</v>
      </c>
      <c r="D4" s="56">
        <f>+SUM(D2:D3)</f>
        <v>261128.86</v>
      </c>
      <c r="E4" s="56">
        <f>+SUM(E2:E3)</f>
        <v>-73611.11</v>
      </c>
      <c r="F4" s="56">
        <f>+SUM(F2:F3)</f>
        <v>9187517.75</v>
      </c>
      <c r="H4" s="45">
        <f>F4/$F$29</f>
        <v>0.25589606320193792</v>
      </c>
      <c r="I4" s="88"/>
    </row>
    <row r="5" spans="1:9" outlineLevel="1" x14ac:dyDescent="0.2">
      <c r="B5" s="37" t="s">
        <v>49</v>
      </c>
      <c r="C5" s="55">
        <f>+'2021'!F24</f>
        <v>3000000</v>
      </c>
      <c r="D5" s="55">
        <f>+'2021'!F25</f>
        <v>30834.99</v>
      </c>
      <c r="E5" s="55">
        <f>+'2021'!F26</f>
        <v>-25479.17</v>
      </c>
      <c r="F5" s="55">
        <f>+C5+D5+E5</f>
        <v>3005355.8200000003</v>
      </c>
      <c r="I5" s="88"/>
    </row>
    <row r="6" spans="1:9" outlineLevel="1" x14ac:dyDescent="0.2">
      <c r="A6" s="92" t="s">
        <v>30</v>
      </c>
      <c r="B6" s="37" t="s">
        <v>72</v>
      </c>
      <c r="C6" s="55">
        <f>+'2021'!F28</f>
        <v>1200000</v>
      </c>
      <c r="D6" s="55">
        <f>+'2021'!F29</f>
        <v>11667.32</v>
      </c>
      <c r="E6" s="55">
        <f>+'2021'!F30</f>
        <v>-10225</v>
      </c>
      <c r="F6" s="55">
        <f t="shared" ref="F6:F8" si="0">+C6+D6+E6</f>
        <v>1201442.32</v>
      </c>
      <c r="I6" s="88"/>
    </row>
    <row r="7" spans="1:9" outlineLevel="1" x14ac:dyDescent="0.2">
      <c r="A7" s="92"/>
      <c r="B7" s="37" t="s">
        <v>79</v>
      </c>
      <c r="C7" s="55">
        <f>+'2021'!F56</f>
        <v>1900000</v>
      </c>
      <c r="D7" s="55">
        <f>+'2021'!F57</f>
        <v>32740.560000000001</v>
      </c>
      <c r="E7" s="55">
        <f>+'2021'!F58</f>
        <v>-16316.25</v>
      </c>
      <c r="F7" s="55">
        <f t="shared" si="0"/>
        <v>1916424.31</v>
      </c>
      <c r="I7" s="88"/>
    </row>
    <row r="8" spans="1:9" outlineLevel="1" x14ac:dyDescent="0.2">
      <c r="B8" s="100" t="s">
        <v>154</v>
      </c>
      <c r="C8" s="55">
        <f>+'2021'!F52</f>
        <v>840000</v>
      </c>
      <c r="D8" s="55">
        <f>+'2021'!F53</f>
        <v>2566.67</v>
      </c>
      <c r="E8" s="55">
        <f>+'2021'!F54</f>
        <v>-7812.06</v>
      </c>
      <c r="F8" s="55">
        <f t="shared" si="0"/>
        <v>834754.61</v>
      </c>
      <c r="I8" s="88"/>
    </row>
    <row r="9" spans="1:9" outlineLevel="1" x14ac:dyDescent="0.2">
      <c r="B9" s="100" t="s">
        <v>179</v>
      </c>
      <c r="C9" s="55">
        <f>+'2021'!F68</f>
        <v>860000</v>
      </c>
      <c r="D9" s="55">
        <f>+'2021'!F69</f>
        <v>0</v>
      </c>
      <c r="E9" s="55">
        <f>+'2021'!F70</f>
        <v>-8605.9699999999993</v>
      </c>
      <c r="F9" s="55">
        <f t="shared" ref="F9" si="1">+C9+D9+E9</f>
        <v>851394.03</v>
      </c>
      <c r="I9" s="88"/>
    </row>
    <row r="10" spans="1:9" ht="10.5" x14ac:dyDescent="0.25">
      <c r="A10" s="322" t="s">
        <v>43</v>
      </c>
      <c r="B10" s="323"/>
      <c r="C10" s="56">
        <f>+SUM(C5:C9)</f>
        <v>7800000</v>
      </c>
      <c r="D10" s="56">
        <f t="shared" ref="D10:F10" si="2">+SUM(D5:D9)</f>
        <v>77809.539999999994</v>
      </c>
      <c r="E10" s="56">
        <f t="shared" si="2"/>
        <v>-68438.45</v>
      </c>
      <c r="F10" s="56">
        <f t="shared" si="2"/>
        <v>7809371.0900000017</v>
      </c>
      <c r="G10" s="88"/>
      <c r="H10" s="45">
        <f>F10/$F$29</f>
        <v>0.21751112459227928</v>
      </c>
      <c r="I10" s="88"/>
    </row>
    <row r="11" spans="1:9" outlineLevel="1" x14ac:dyDescent="0.2">
      <c r="A11" s="92" t="s">
        <v>27</v>
      </c>
      <c r="B11" s="37" t="s">
        <v>155</v>
      </c>
      <c r="C11" s="55">
        <f>+'2021'!F60</f>
        <v>2797996.44</v>
      </c>
      <c r="D11" s="55">
        <f>+'2021'!F61</f>
        <v>62487.64</v>
      </c>
      <c r="E11" s="55">
        <f>+'2021'!F62</f>
        <v>-8009.17</v>
      </c>
      <c r="F11" s="55">
        <f>+C11+D11+E11</f>
        <v>2852474.91</v>
      </c>
      <c r="G11" s="88"/>
      <c r="I11" s="88"/>
    </row>
    <row r="12" spans="1:9" outlineLevel="1" x14ac:dyDescent="0.2">
      <c r="A12" s="92"/>
      <c r="B12" s="37" t="s">
        <v>156</v>
      </c>
      <c r="C12" s="55">
        <f>+'2021'!F44</f>
        <v>501370.79</v>
      </c>
      <c r="D12" s="55">
        <f>+'2021'!F45</f>
        <v>10827.81</v>
      </c>
      <c r="E12" s="55">
        <f>+'2021'!F46</f>
        <v>-4319.4399999999996</v>
      </c>
      <c r="F12" s="55">
        <f>+C12+D12+E12</f>
        <v>507879.16</v>
      </c>
      <c r="G12" s="88"/>
      <c r="I12" s="88"/>
    </row>
    <row r="13" spans="1:9" ht="10.5" x14ac:dyDescent="0.25">
      <c r="A13" s="322" t="s">
        <v>45</v>
      </c>
      <c r="B13" s="323"/>
      <c r="C13" s="56">
        <f>+SUM(C11:C12)</f>
        <v>3299367.23</v>
      </c>
      <c r="D13" s="56">
        <f>+SUM(D11:D12)</f>
        <v>73315.45</v>
      </c>
      <c r="E13" s="56">
        <f>+SUM(E11:E12)</f>
        <v>-12328.61</v>
      </c>
      <c r="F13" s="56">
        <f>+SUM(F11:F12)</f>
        <v>3360354.0700000003</v>
      </c>
      <c r="G13" s="88"/>
      <c r="H13" s="45">
        <f>F13/$F$29</f>
        <v>9.3594526930585731E-2</v>
      </c>
      <c r="I13" s="88"/>
    </row>
    <row r="14" spans="1:9" x14ac:dyDescent="0.2">
      <c r="A14" s="92" t="s">
        <v>34</v>
      </c>
      <c r="B14" s="37" t="s">
        <v>157</v>
      </c>
      <c r="C14" s="55">
        <f>+'2021'!F32</f>
        <v>750000</v>
      </c>
      <c r="D14" s="55">
        <f>+'2021'!F33</f>
        <v>31992.33</v>
      </c>
      <c r="E14" s="55">
        <f>+'2021'!F34</f>
        <v>-5052.05</v>
      </c>
      <c r="F14" s="55">
        <f>+C14+D14+E14</f>
        <v>776940.27999999991</v>
      </c>
      <c r="G14" s="88"/>
      <c r="I14" s="88"/>
    </row>
    <row r="15" spans="1:9" x14ac:dyDescent="0.2">
      <c r="A15" s="92"/>
      <c r="B15" s="37" t="s">
        <v>180</v>
      </c>
      <c r="C15" s="55">
        <f>+'2021'!F72</f>
        <v>300000</v>
      </c>
      <c r="D15" s="55">
        <f>+'2021'!F73</f>
        <v>329</v>
      </c>
      <c r="E15" s="55">
        <f>+'2021'!F74</f>
        <v>-596.66999999999996</v>
      </c>
      <c r="F15" s="55">
        <f>+C15+D15+E15</f>
        <v>299732.33</v>
      </c>
      <c r="G15" s="88"/>
      <c r="I15" s="88"/>
    </row>
    <row r="16" spans="1:9" ht="10.5" x14ac:dyDescent="0.25">
      <c r="A16" s="322" t="s">
        <v>44</v>
      </c>
      <c r="B16" s="323"/>
      <c r="C16" s="56">
        <f>+SUM(C14:C15)</f>
        <v>1050000</v>
      </c>
      <c r="D16" s="56">
        <f t="shared" ref="D16:F16" si="3">+SUM(D14:D15)</f>
        <v>32321.33</v>
      </c>
      <c r="E16" s="56">
        <f t="shared" si="3"/>
        <v>-5648.72</v>
      </c>
      <c r="F16" s="56">
        <f t="shared" si="3"/>
        <v>1076672.6099999999</v>
      </c>
      <c r="G16" s="88"/>
      <c r="H16" s="45">
        <f>F16/$F$29</f>
        <v>2.9988108839991676E-2</v>
      </c>
      <c r="I16" s="88"/>
    </row>
    <row r="17" spans="1:9" x14ac:dyDescent="0.2">
      <c r="A17" s="92" t="s">
        <v>63</v>
      </c>
      <c r="B17" s="37" t="s">
        <v>85</v>
      </c>
      <c r="C17" s="55">
        <f>+'2021'!F40</f>
        <v>1987274.5</v>
      </c>
      <c r="D17" s="55">
        <f>+'2021'!F41</f>
        <v>46368.71</v>
      </c>
      <c r="E17" s="55">
        <f>+'2021'!F42</f>
        <v>-17875</v>
      </c>
      <c r="F17" s="55">
        <f>+C17+D17+E17</f>
        <v>2015768.21</v>
      </c>
      <c r="G17" s="88"/>
      <c r="I17" s="88"/>
    </row>
    <row r="18" spans="1:9" x14ac:dyDescent="0.2">
      <c r="A18" s="92"/>
      <c r="B18" s="37" t="s">
        <v>162</v>
      </c>
      <c r="C18" s="55">
        <f>+'2021'!F64</f>
        <v>2066014.18</v>
      </c>
      <c r="D18" s="55">
        <f>+'2021'!F65</f>
        <v>36959.160000000003</v>
      </c>
      <c r="E18" s="55">
        <f>+'2021'!F66</f>
        <v>-5766.67</v>
      </c>
      <c r="F18" s="55">
        <f>+C18+D18+E18</f>
        <v>2097206.67</v>
      </c>
      <c r="G18" s="88"/>
      <c r="I18" s="88"/>
    </row>
    <row r="19" spans="1:9" x14ac:dyDescent="0.2">
      <c r="A19" s="92"/>
      <c r="B19" s="37" t="s">
        <v>184</v>
      </c>
      <c r="C19" s="55">
        <f>+'2021'!F80</f>
        <v>1702301.42</v>
      </c>
      <c r="D19" s="55">
        <f>+'2021'!F81</f>
        <v>14110.37</v>
      </c>
      <c r="E19" s="55">
        <f>+'2021'!F82</f>
        <v>-15076.88</v>
      </c>
      <c r="F19" s="55">
        <f>+C19+D19+E19</f>
        <v>1701334.9100000001</v>
      </c>
      <c r="G19" s="88"/>
      <c r="I19" s="88"/>
    </row>
    <row r="20" spans="1:9" ht="10.5" x14ac:dyDescent="0.25">
      <c r="A20" s="322" t="s">
        <v>64</v>
      </c>
      <c r="B20" s="323"/>
      <c r="C20" s="56">
        <f>SUM(C17:C19)</f>
        <v>5755590.0999999996</v>
      </c>
      <c r="D20" s="56">
        <f t="shared" ref="D20:F20" si="4">SUM(D17:D19)</f>
        <v>97438.239999999991</v>
      </c>
      <c r="E20" s="56">
        <f t="shared" si="4"/>
        <v>-38718.549999999996</v>
      </c>
      <c r="F20" s="56">
        <f t="shared" si="4"/>
        <v>5814309.79</v>
      </c>
      <c r="H20" s="45">
        <f>F20/$F$29</f>
        <v>0.16194352228571057</v>
      </c>
      <c r="I20" s="88"/>
    </row>
    <row r="21" spans="1:9" x14ac:dyDescent="0.2">
      <c r="A21" s="92" t="s">
        <v>29</v>
      </c>
      <c r="B21" s="37" t="s">
        <v>41</v>
      </c>
      <c r="C21" s="55">
        <f>+'2021'!F36</f>
        <v>4611994.25</v>
      </c>
      <c r="D21" s="55">
        <f>+'2021'!F37</f>
        <v>60113.25</v>
      </c>
      <c r="E21" s="55">
        <f>+'2021'!F38</f>
        <v>-42638.89</v>
      </c>
      <c r="F21" s="55">
        <f>+C21+D21+E21</f>
        <v>4629468.6100000003</v>
      </c>
      <c r="G21" s="91"/>
      <c r="H21" s="91"/>
      <c r="I21" s="88"/>
    </row>
    <row r="22" spans="1:9" ht="10.5" x14ac:dyDescent="0.25">
      <c r="A22" s="322" t="s">
        <v>42</v>
      </c>
      <c r="B22" s="323"/>
      <c r="C22" s="56">
        <f>SUM(C21:C21)</f>
        <v>4611994.25</v>
      </c>
      <c r="D22" s="56">
        <f>SUM(D21:D21)</f>
        <v>60113.25</v>
      </c>
      <c r="E22" s="56">
        <f>SUM(E21:E21)</f>
        <v>-42638.89</v>
      </c>
      <c r="F22" s="56">
        <f>SUM(F21:F21)</f>
        <v>4629468.6100000003</v>
      </c>
      <c r="H22" s="45">
        <f>F22/$F$29</f>
        <v>0.12894263981323439</v>
      </c>
      <c r="I22" s="88"/>
    </row>
    <row r="23" spans="1:9" x14ac:dyDescent="0.2">
      <c r="A23" s="92" t="s">
        <v>48</v>
      </c>
      <c r="B23" s="37" t="s">
        <v>82</v>
      </c>
      <c r="C23" s="55">
        <f>+'2021'!F48</f>
        <v>949579.83</v>
      </c>
      <c r="D23" s="55">
        <f>+'2021'!F49</f>
        <v>9032.9</v>
      </c>
      <c r="E23" s="55">
        <f>+'2021'!F50</f>
        <v>-1613.89</v>
      </c>
      <c r="F23" s="55">
        <f>+C23+D23+E23</f>
        <v>956998.84</v>
      </c>
      <c r="G23" s="88"/>
      <c r="I23" s="88"/>
    </row>
    <row r="24" spans="1:9" ht="10.5" x14ac:dyDescent="0.25">
      <c r="A24" s="322" t="s">
        <v>46</v>
      </c>
      <c r="B24" s="323"/>
      <c r="C24" s="56">
        <f>SUM(C23:C23)</f>
        <v>949579.83</v>
      </c>
      <c r="D24" s="56">
        <f>SUM(D23:D23)</f>
        <v>9032.9</v>
      </c>
      <c r="E24" s="56">
        <f>SUM(E23:E23)</f>
        <v>-1613.89</v>
      </c>
      <c r="F24" s="56">
        <f>SUM(F23:F23)</f>
        <v>956998.84</v>
      </c>
      <c r="H24" s="45">
        <f>F24/$F$29</f>
        <v>2.6654885716527868E-2</v>
      </c>
      <c r="I24" s="88"/>
    </row>
    <row r="25" spans="1:9" x14ac:dyDescent="0.2">
      <c r="A25" s="92" t="s">
        <v>181</v>
      </c>
      <c r="B25" s="37" t="s">
        <v>182</v>
      </c>
      <c r="C25" s="55">
        <f>+'2021'!F76</f>
        <v>2597326.7599999998</v>
      </c>
      <c r="D25" s="55">
        <f>+'2021'!F77</f>
        <v>0</v>
      </c>
      <c r="E25" s="55">
        <f>+'2021'!F78</f>
        <v>-26000</v>
      </c>
      <c r="F25" s="55">
        <f>+C25+D25+E25</f>
        <v>2571326.7599999998</v>
      </c>
      <c r="G25" s="88"/>
      <c r="I25" s="88"/>
    </row>
    <row r="26" spans="1:9" ht="10.5" x14ac:dyDescent="0.25">
      <c r="A26" s="322" t="s">
        <v>183</v>
      </c>
      <c r="B26" s="323"/>
      <c r="C26" s="56">
        <f>SUM(C25:C25)</f>
        <v>2597326.7599999998</v>
      </c>
      <c r="D26" s="56">
        <f>SUM(D25:D25)</f>
        <v>0</v>
      </c>
      <c r="E26" s="56">
        <f>SUM(E25:E25)</f>
        <v>-26000</v>
      </c>
      <c r="F26" s="56">
        <f>SUM(F25:F25)</f>
        <v>2571326.7599999998</v>
      </c>
      <c r="H26" s="45">
        <f>F26/$F$29</f>
        <v>7.1618081509534415E-2</v>
      </c>
      <c r="I26" s="88"/>
    </row>
    <row r="27" spans="1:9" x14ac:dyDescent="0.2">
      <c r="A27" s="92" t="s">
        <v>185</v>
      </c>
      <c r="B27" s="37" t="s">
        <v>186</v>
      </c>
      <c r="C27" s="55">
        <f>+'2021'!F84</f>
        <v>499808.97</v>
      </c>
      <c r="D27" s="55">
        <f>+'2021'!F85</f>
        <v>0</v>
      </c>
      <c r="E27" s="55">
        <f>+'2021'!F86</f>
        <v>-2510.42</v>
      </c>
      <c r="F27" s="55">
        <f>+C27+D27+E27</f>
        <v>497298.55</v>
      </c>
      <c r="G27" s="88"/>
      <c r="I27" s="88"/>
    </row>
    <row r="28" spans="1:9" ht="10.5" x14ac:dyDescent="0.25">
      <c r="A28" s="322" t="s">
        <v>187</v>
      </c>
      <c r="B28" s="323"/>
      <c r="C28" s="56">
        <f>SUM(C27:C27)</f>
        <v>499808.97</v>
      </c>
      <c r="D28" s="56">
        <f>SUM(D27:D27)</f>
        <v>0</v>
      </c>
      <c r="E28" s="56">
        <f>SUM(E27:E27)</f>
        <v>-2510.42</v>
      </c>
      <c r="F28" s="56">
        <f>SUM(F27:F27)</f>
        <v>497298.55</v>
      </c>
      <c r="H28" s="45">
        <f>F28/$F$29</f>
        <v>1.3851047110198191E-2</v>
      </c>
      <c r="I28" s="88"/>
    </row>
    <row r="29" spans="1:9" ht="11.5" x14ac:dyDescent="0.25">
      <c r="A29" s="324" t="s">
        <v>47</v>
      </c>
      <c r="B29" s="325"/>
      <c r="C29" s="101">
        <f>+C4+C10+C13+C16+C20+C22+C24+C26+C28</f>
        <v>35563667.139999993</v>
      </c>
      <c r="D29" s="101">
        <f t="shared" ref="D29:F29" si="5">+D4+D10+D13+D16+D20+D22+D24+D26+D28</f>
        <v>611159.56999999995</v>
      </c>
      <c r="E29" s="101">
        <f t="shared" si="5"/>
        <v>-271508.63999999996</v>
      </c>
      <c r="F29" s="101">
        <f t="shared" si="5"/>
        <v>35903318.07</v>
      </c>
      <c r="H29" s="45">
        <f>SUM(H4:H28)</f>
        <v>1</v>
      </c>
      <c r="I29" s="88"/>
    </row>
    <row r="30" spans="1:9" x14ac:dyDescent="0.2">
      <c r="F30" s="91"/>
      <c r="G30" s="99"/>
    </row>
    <row r="31" spans="1:9" x14ac:dyDescent="0.2">
      <c r="F31" s="91"/>
      <c r="G31" s="91"/>
    </row>
    <row r="32" spans="1:9" x14ac:dyDescent="0.2">
      <c r="F32" s="57">
        <f>+'2021'!F12</f>
        <v>35903318.07</v>
      </c>
      <c r="G32" s="91"/>
    </row>
    <row r="33" spans="3:7" x14ac:dyDescent="0.2">
      <c r="D33" s="58" t="s">
        <v>50</v>
      </c>
      <c r="E33" s="58"/>
      <c r="F33" s="58">
        <f>+F32-F29</f>
        <v>0</v>
      </c>
      <c r="G33" s="91"/>
    </row>
    <row r="34" spans="3:7" x14ac:dyDescent="0.2">
      <c r="D34" s="58"/>
      <c r="E34" s="58"/>
      <c r="F34" s="74"/>
      <c r="G34" s="91"/>
    </row>
    <row r="35" spans="3:7" x14ac:dyDescent="0.2">
      <c r="G35" s="91"/>
    </row>
    <row r="36" spans="3:7" x14ac:dyDescent="0.2">
      <c r="G36" s="91"/>
    </row>
    <row r="37" spans="3:7" x14ac:dyDescent="0.2">
      <c r="F37" s="91"/>
      <c r="G37" s="91"/>
    </row>
    <row r="38" spans="3:7" x14ac:dyDescent="0.2">
      <c r="F38" s="88"/>
      <c r="G38" s="91"/>
    </row>
    <row r="39" spans="3:7" x14ac:dyDescent="0.2">
      <c r="F39" s="91"/>
      <c r="G39" s="91"/>
    </row>
    <row r="40" spans="3:7" x14ac:dyDescent="0.2">
      <c r="C40" s="102"/>
      <c r="D40" s="102"/>
      <c r="E40" s="102"/>
      <c r="F40" s="94"/>
    </row>
    <row r="41" spans="3:7" x14ac:dyDescent="0.2">
      <c r="C41" s="102"/>
      <c r="D41" s="102"/>
      <c r="E41" s="102"/>
    </row>
    <row r="43" spans="3:7" x14ac:dyDescent="0.2">
      <c r="C43" s="91"/>
      <c r="D43" s="91"/>
      <c r="E43" s="91"/>
    </row>
  </sheetData>
  <mergeCells count="10">
    <mergeCell ref="A22:B22"/>
    <mergeCell ref="A24:B24"/>
    <mergeCell ref="A29:B29"/>
    <mergeCell ref="A4:B4"/>
    <mergeCell ref="A10:B10"/>
    <mergeCell ref="A13:B13"/>
    <mergeCell ref="A16:B16"/>
    <mergeCell ref="A20:B20"/>
    <mergeCell ref="A26:B26"/>
    <mergeCell ref="A28:B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BC25-3EC2-425F-94BE-B9CED02047B1}">
  <sheetPr>
    <tabColor theme="3"/>
  </sheetPr>
  <dimension ref="A1:F28"/>
  <sheetViews>
    <sheetView workbookViewId="0">
      <selection activeCell="A12" sqref="A12:A19"/>
    </sheetView>
  </sheetViews>
  <sheetFormatPr defaultRowHeight="12.5" x14ac:dyDescent="0.25"/>
  <cols>
    <col min="1" max="1" width="8.7265625" style="189"/>
    <col min="2" max="2" width="21.36328125" style="189" bestFit="1" customWidth="1"/>
    <col min="3" max="3" width="9.90625" style="189" bestFit="1" customWidth="1"/>
    <col min="4" max="4" width="17.36328125" style="189" bestFit="1" customWidth="1"/>
    <col min="5" max="5" width="14.36328125" style="189" bestFit="1" customWidth="1"/>
    <col min="6" max="16384" width="8.7265625" style="189"/>
  </cols>
  <sheetData>
    <row r="1" spans="1:6" ht="13" x14ac:dyDescent="0.3">
      <c r="A1" s="188" t="s">
        <v>188</v>
      </c>
      <c r="B1" s="188" t="s">
        <v>189</v>
      </c>
      <c r="C1" s="188" t="s">
        <v>36</v>
      </c>
      <c r="D1" s="188" t="s">
        <v>190</v>
      </c>
      <c r="E1" s="188" t="s">
        <v>191</v>
      </c>
      <c r="F1" s="188"/>
    </row>
    <row r="2" spans="1:6" x14ac:dyDescent="0.25">
      <c r="A2" s="189">
        <v>0</v>
      </c>
      <c r="B2" s="189" t="s">
        <v>49</v>
      </c>
      <c r="C2" s="189" t="s">
        <v>30</v>
      </c>
      <c r="D2" s="190">
        <v>44130</v>
      </c>
      <c r="E2" s="175">
        <v>3000000</v>
      </c>
    </row>
    <row r="3" spans="1:6" x14ac:dyDescent="0.25">
      <c r="A3" s="189">
        <v>1</v>
      </c>
      <c r="B3" s="189" t="s">
        <v>72</v>
      </c>
      <c r="C3" s="189" t="s">
        <v>30</v>
      </c>
      <c r="D3" s="190">
        <v>44134</v>
      </c>
      <c r="E3" s="175">
        <v>1200000</v>
      </c>
    </row>
    <row r="4" spans="1:6" x14ac:dyDescent="0.25">
      <c r="A4" s="189">
        <v>2</v>
      </c>
      <c r="B4" s="189" t="s">
        <v>192</v>
      </c>
      <c r="C4" s="189" t="s">
        <v>34</v>
      </c>
      <c r="D4" s="190">
        <v>44174</v>
      </c>
      <c r="E4" s="175">
        <v>750000</v>
      </c>
    </row>
    <row r="5" spans="1:6" x14ac:dyDescent="0.25">
      <c r="A5" s="189">
        <v>3</v>
      </c>
      <c r="B5" s="189" t="s">
        <v>41</v>
      </c>
      <c r="C5" s="189" t="s">
        <v>29</v>
      </c>
      <c r="D5" s="190">
        <v>44188</v>
      </c>
      <c r="E5" s="175">
        <v>5000000</v>
      </c>
    </row>
    <row r="6" spans="1:6" x14ac:dyDescent="0.25">
      <c r="A6" s="189">
        <v>4</v>
      </c>
      <c r="B6" s="189" t="s">
        <v>193</v>
      </c>
      <c r="C6" s="189" t="s">
        <v>63</v>
      </c>
      <c r="D6" s="190">
        <v>44194</v>
      </c>
      <c r="E6" s="175">
        <v>2000000</v>
      </c>
    </row>
    <row r="7" spans="1:6" x14ac:dyDescent="0.25">
      <c r="A7" s="189">
        <v>5</v>
      </c>
      <c r="B7" s="189" t="s">
        <v>194</v>
      </c>
      <c r="C7" s="189" t="s">
        <v>27</v>
      </c>
      <c r="D7" s="190">
        <v>44196</v>
      </c>
      <c r="E7" s="175">
        <v>500000</v>
      </c>
    </row>
    <row r="8" spans="1:6" x14ac:dyDescent="0.25">
      <c r="A8" s="189">
        <v>6</v>
      </c>
      <c r="B8" s="189" t="s">
        <v>195</v>
      </c>
      <c r="C8" s="189" t="s">
        <v>33</v>
      </c>
      <c r="D8" s="190">
        <v>44208</v>
      </c>
      <c r="E8" s="175">
        <v>5000000</v>
      </c>
    </row>
    <row r="9" spans="1:6" x14ac:dyDescent="0.25">
      <c r="A9" s="189">
        <v>7</v>
      </c>
      <c r="B9" s="189" t="s">
        <v>196</v>
      </c>
      <c r="C9" s="189" t="s">
        <v>197</v>
      </c>
      <c r="D9" s="190">
        <v>44215</v>
      </c>
      <c r="E9" s="175">
        <v>1000000</v>
      </c>
    </row>
    <row r="10" spans="1:6" x14ac:dyDescent="0.25">
      <c r="A10" s="189">
        <v>8</v>
      </c>
      <c r="B10" s="189" t="s">
        <v>198</v>
      </c>
      <c r="C10" s="189" t="s">
        <v>30</v>
      </c>
      <c r="D10" s="190">
        <v>44246</v>
      </c>
      <c r="E10" s="175">
        <v>840000</v>
      </c>
    </row>
    <row r="11" spans="1:6" x14ac:dyDescent="0.25">
      <c r="A11" s="189">
        <v>9</v>
      </c>
      <c r="B11" s="189" t="s">
        <v>199</v>
      </c>
      <c r="C11" s="189" t="s">
        <v>33</v>
      </c>
      <c r="D11" s="190">
        <v>44258</v>
      </c>
      <c r="E11" s="175">
        <v>4000000</v>
      </c>
    </row>
    <row r="12" spans="1:6" x14ac:dyDescent="0.25">
      <c r="A12" s="189">
        <v>10</v>
      </c>
      <c r="B12" s="189" t="s">
        <v>200</v>
      </c>
      <c r="C12" s="189" t="s">
        <v>27</v>
      </c>
      <c r="D12" s="190">
        <v>44280</v>
      </c>
      <c r="E12" s="175">
        <v>2800000</v>
      </c>
    </row>
    <row r="13" spans="1:6" x14ac:dyDescent="0.25">
      <c r="A13" s="189">
        <v>11</v>
      </c>
      <c r="B13" s="189" t="s">
        <v>72</v>
      </c>
      <c r="C13" s="189" t="s">
        <v>30</v>
      </c>
      <c r="D13" s="190">
        <v>44281</v>
      </c>
      <c r="E13" s="175">
        <v>1900000</v>
      </c>
    </row>
    <row r="14" spans="1:6" x14ac:dyDescent="0.25">
      <c r="A14" s="189">
        <v>12</v>
      </c>
      <c r="B14" s="189" t="s">
        <v>309</v>
      </c>
      <c r="C14" s="189" t="s">
        <v>63</v>
      </c>
      <c r="D14" s="190">
        <v>44298</v>
      </c>
      <c r="E14" s="175">
        <v>2000000</v>
      </c>
    </row>
    <row r="15" spans="1:6" x14ac:dyDescent="0.25">
      <c r="A15" s="189">
        <v>13</v>
      </c>
      <c r="B15" s="189" t="s">
        <v>184</v>
      </c>
      <c r="C15" s="189" t="s">
        <v>63</v>
      </c>
      <c r="D15" s="190">
        <v>44326</v>
      </c>
      <c r="E15" s="175">
        <v>1700000</v>
      </c>
    </row>
    <row r="16" spans="1:6" x14ac:dyDescent="0.25">
      <c r="A16" s="189">
        <v>14</v>
      </c>
      <c r="B16" s="189" t="s">
        <v>180</v>
      </c>
      <c r="C16" s="189" t="s">
        <v>34</v>
      </c>
      <c r="D16" s="190">
        <v>44341</v>
      </c>
      <c r="E16" s="175">
        <v>300000</v>
      </c>
    </row>
    <row r="17" spans="1:5" x14ac:dyDescent="0.25">
      <c r="A17" s="189">
        <v>15</v>
      </c>
      <c r="B17" s="189" t="s">
        <v>198</v>
      </c>
      <c r="C17" s="189" t="s">
        <v>30</v>
      </c>
      <c r="D17" s="190">
        <v>44344</v>
      </c>
      <c r="E17" s="175">
        <v>860000</v>
      </c>
    </row>
    <row r="18" spans="1:5" x14ac:dyDescent="0.25">
      <c r="A18" s="189">
        <v>16</v>
      </c>
      <c r="B18" s="189" t="s">
        <v>186</v>
      </c>
      <c r="C18" s="189" t="s">
        <v>185</v>
      </c>
      <c r="D18" s="190">
        <v>44344</v>
      </c>
      <c r="E18" s="175">
        <v>500000</v>
      </c>
    </row>
    <row r="19" spans="1:5" x14ac:dyDescent="0.25">
      <c r="A19" s="189">
        <v>17</v>
      </c>
      <c r="B19" s="189" t="s">
        <v>310</v>
      </c>
      <c r="C19" s="189" t="s">
        <v>181</v>
      </c>
      <c r="D19" s="190">
        <v>44347</v>
      </c>
      <c r="E19" s="175">
        <v>2600000</v>
      </c>
    </row>
    <row r="20" spans="1:5" x14ac:dyDescent="0.25">
      <c r="D20" s="190"/>
      <c r="E20" s="175"/>
    </row>
    <row r="21" spans="1:5" x14ac:dyDescent="0.25">
      <c r="D21" s="190"/>
      <c r="E21" s="175"/>
    </row>
    <row r="22" spans="1:5" x14ac:dyDescent="0.25">
      <c r="D22" s="190"/>
      <c r="E22" s="175"/>
    </row>
    <row r="23" spans="1:5" x14ac:dyDescent="0.25">
      <c r="D23" s="190"/>
      <c r="E23" s="175"/>
    </row>
    <row r="24" spans="1:5" x14ac:dyDescent="0.25">
      <c r="D24" s="190"/>
      <c r="E24" s="175"/>
    </row>
    <row r="25" spans="1:5" x14ac:dyDescent="0.25">
      <c r="D25" s="190"/>
      <c r="E25" s="175"/>
    </row>
    <row r="26" spans="1:5" x14ac:dyDescent="0.25">
      <c r="D26" s="190"/>
      <c r="E26" s="175"/>
    </row>
    <row r="27" spans="1:5" x14ac:dyDescent="0.25">
      <c r="D27" s="190"/>
      <c r="E27" s="175"/>
    </row>
    <row r="28" spans="1:5" x14ac:dyDescent="0.25">
      <c r="D28" s="190"/>
      <c r="E28" s="175"/>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2F0F-703D-4D80-BAF3-F5332E638AE1}">
  <sheetPr>
    <tabColor theme="3"/>
  </sheetPr>
  <dimension ref="A1:AU165"/>
  <sheetViews>
    <sheetView showGridLines="0" tabSelected="1" zoomScale="115" zoomScaleNormal="115" workbookViewId="0">
      <selection activeCell="N3" sqref="N3"/>
    </sheetView>
  </sheetViews>
  <sheetFormatPr defaultColWidth="11.453125" defaultRowHeight="14.5" x14ac:dyDescent="0.25"/>
  <cols>
    <col min="1" max="1" width="4" style="191" bestFit="1" customWidth="1"/>
    <col min="2" max="2" width="3.7265625" style="191" customWidth="1"/>
    <col min="3" max="3" width="10.08984375" style="191" bestFit="1" customWidth="1"/>
    <col min="4" max="4" width="6.54296875" style="191" bestFit="1" customWidth="1"/>
    <col min="5" max="5" width="6.6328125" style="191" bestFit="1" customWidth="1"/>
    <col min="6" max="6" width="7.26953125" style="191" customWidth="1"/>
    <col min="7" max="7" width="6.26953125" style="191" bestFit="1" customWidth="1"/>
    <col min="8" max="8" width="7.6328125" style="191" customWidth="1"/>
    <col min="9" max="9" width="4.90625" style="191" bestFit="1" customWidth="1"/>
    <col min="10" max="10" width="6" style="191" bestFit="1" customWidth="1"/>
    <col min="11" max="11" width="9" style="192" bestFit="1" customWidth="1"/>
    <col min="12" max="12" width="4.7265625" style="192" customWidth="1"/>
    <col min="13" max="13" width="7.08984375" style="192" customWidth="1"/>
    <col min="14" max="14" width="7.90625" style="191" bestFit="1" customWidth="1"/>
    <col min="15" max="15" width="4.36328125" style="191" bestFit="1" customWidth="1"/>
    <col min="16" max="16" width="4.7265625" style="191" bestFit="1" customWidth="1"/>
    <col min="17" max="17" width="5" style="191" bestFit="1" customWidth="1"/>
    <col min="18" max="18" width="5.1796875" style="191" bestFit="1" customWidth="1"/>
    <col min="19" max="19" width="6.81640625" style="191" bestFit="1" customWidth="1"/>
    <col min="20" max="22" width="8.7265625" style="191" customWidth="1"/>
    <col min="23" max="23" width="22.26953125" style="191" bestFit="1" customWidth="1"/>
    <col min="24" max="24" width="18.1796875" style="191" bestFit="1" customWidth="1"/>
    <col min="25" max="25" width="32.7265625" style="191" bestFit="1" customWidth="1"/>
    <col min="26" max="26" width="14.453125" style="191" bestFit="1" customWidth="1"/>
    <col min="27" max="27" width="9.453125" style="191" customWidth="1"/>
    <col min="28" max="28" width="2.7265625" style="191" customWidth="1"/>
    <col min="29" max="29" width="34.7265625" style="191" bestFit="1" customWidth="1"/>
    <col min="30" max="30" width="7.81640625" style="191" bestFit="1" customWidth="1"/>
    <col min="31" max="33" width="12.1796875" style="191" customWidth="1"/>
    <col min="34" max="34" width="14.1796875" style="191" customWidth="1"/>
    <col min="35" max="35" width="18.453125" style="191" customWidth="1"/>
    <col min="36" max="36" width="16.81640625" style="191" customWidth="1"/>
    <col min="37" max="37" width="9" style="191" customWidth="1"/>
    <col min="38" max="38" width="7.81640625" style="191" customWidth="1"/>
    <col min="39" max="39" width="8.81640625" style="191" customWidth="1"/>
    <col min="40" max="40" width="12.1796875" style="191" customWidth="1"/>
    <col min="41" max="41" width="11.453125" style="191"/>
    <col min="42" max="42" width="3.453125" style="191" bestFit="1" customWidth="1"/>
    <col min="43" max="43" width="12.453125" style="191" customWidth="1"/>
    <col min="44" max="44" width="10.81640625" style="191" bestFit="1" customWidth="1"/>
    <col min="45" max="45" width="7" style="191" bestFit="1" customWidth="1"/>
    <col min="46" max="46" width="8.7265625" style="191" customWidth="1"/>
    <col min="47" max="47" width="13.81640625" style="191" customWidth="1"/>
    <col min="48" max="16384" width="11.453125" style="191"/>
  </cols>
  <sheetData>
    <row r="1" spans="1:42" x14ac:dyDescent="0.25">
      <c r="N1" s="331"/>
      <c r="AA1" s="193"/>
    </row>
    <row r="2" spans="1:42" s="194" customFormat="1" ht="36" x14ac:dyDescent="0.3">
      <c r="B2" s="195"/>
      <c r="C2" s="195" t="s">
        <v>201</v>
      </c>
      <c r="D2" s="195" t="s">
        <v>36</v>
      </c>
      <c r="E2" s="196" t="s">
        <v>202</v>
      </c>
      <c r="F2" s="196" t="s">
        <v>203</v>
      </c>
      <c r="G2" s="196" t="s">
        <v>204</v>
      </c>
      <c r="H2" s="196" t="s">
        <v>205</v>
      </c>
      <c r="I2" s="196" t="s">
        <v>206</v>
      </c>
      <c r="J2" s="196" t="s">
        <v>207</v>
      </c>
      <c r="K2" s="197" t="s">
        <v>208</v>
      </c>
      <c r="L2" s="197" t="s">
        <v>209</v>
      </c>
      <c r="M2" s="197" t="s">
        <v>210</v>
      </c>
      <c r="N2" s="197" t="s">
        <v>311</v>
      </c>
      <c r="O2" s="197" t="s">
        <v>211</v>
      </c>
      <c r="P2" s="197" t="s">
        <v>212</v>
      </c>
      <c r="Q2" s="197" t="s">
        <v>213</v>
      </c>
      <c r="R2" s="196" t="s">
        <v>214</v>
      </c>
      <c r="S2" s="196" t="s">
        <v>215</v>
      </c>
      <c r="T2" s="198"/>
      <c r="U2" s="198"/>
      <c r="V2" s="199"/>
      <c r="W2" s="200" t="s">
        <v>216</v>
      </c>
      <c r="X2" s="200" t="s">
        <v>217</v>
      </c>
      <c r="Y2" s="200" t="s">
        <v>218</v>
      </c>
      <c r="Z2" s="200" t="s">
        <v>219</v>
      </c>
    </row>
    <row r="3" spans="1:42" s="212" customFormat="1" ht="11.5" customHeight="1" x14ac:dyDescent="0.35">
      <c r="A3" s="201"/>
      <c r="B3" s="202">
        <v>1</v>
      </c>
      <c r="C3" s="202" t="s">
        <v>220</v>
      </c>
      <c r="D3" s="202" t="s">
        <v>33</v>
      </c>
      <c r="E3" s="203">
        <v>44197</v>
      </c>
      <c r="F3" s="204">
        <v>198.1950577915452</v>
      </c>
      <c r="G3" s="205">
        <v>72224</v>
      </c>
      <c r="H3" s="206">
        <v>0.48166814355338944</v>
      </c>
      <c r="I3" s="207">
        <v>0.233786552946389</v>
      </c>
      <c r="J3" s="208">
        <v>2744.1717128869236</v>
      </c>
      <c r="K3" s="207">
        <v>0.31070784792650857</v>
      </c>
      <c r="L3" s="209">
        <v>4.5695447904062691E-3</v>
      </c>
      <c r="M3" s="210" t="s">
        <v>221</v>
      </c>
      <c r="N3" s="210" t="s">
        <v>222</v>
      </c>
      <c r="O3" s="210" t="s">
        <v>222</v>
      </c>
      <c r="P3" s="210" t="s">
        <v>222</v>
      </c>
      <c r="Q3" s="210" t="s">
        <v>223</v>
      </c>
      <c r="R3" s="211">
        <v>0.47</v>
      </c>
      <c r="S3" s="211" t="s">
        <v>224</v>
      </c>
      <c r="T3" s="199"/>
      <c r="V3" s="199"/>
      <c r="W3" s="213" t="s">
        <v>153</v>
      </c>
      <c r="X3" s="214">
        <v>4000000</v>
      </c>
      <c r="Y3" s="214">
        <v>2744.1717128869236</v>
      </c>
      <c r="Z3" s="214">
        <v>1457.634732263864</v>
      </c>
      <c r="AA3" s="215"/>
      <c r="AE3" s="216"/>
      <c r="AF3" s="216"/>
      <c r="AG3" s="216"/>
      <c r="AI3" s="217"/>
      <c r="AJ3" s="217"/>
      <c r="AK3" s="217"/>
      <c r="AL3" s="217"/>
      <c r="AM3" s="217"/>
      <c r="AN3" s="217"/>
      <c r="AO3" s="217"/>
      <c r="AP3" s="217"/>
    </row>
    <row r="4" spans="1:42" s="212" customFormat="1" ht="11.5" customHeight="1" x14ac:dyDescent="0.35">
      <c r="A4" s="201"/>
      <c r="B4" s="202">
        <f>+B3+1</f>
        <v>2</v>
      </c>
      <c r="C4" s="202" t="s">
        <v>225</v>
      </c>
      <c r="D4" s="202" t="s">
        <v>33</v>
      </c>
      <c r="E4" s="203">
        <v>44197</v>
      </c>
      <c r="F4" s="204">
        <v>131.87041130758016</v>
      </c>
      <c r="G4" s="205">
        <v>122185</v>
      </c>
      <c r="H4" s="206">
        <v>0.77309817080656384</v>
      </c>
      <c r="I4" s="207">
        <v>0.11938453983713222</v>
      </c>
      <c r="J4" s="208">
        <v>1079.2684151702758</v>
      </c>
      <c r="K4" s="207">
        <v>0.12219977526837363</v>
      </c>
      <c r="L4" s="209">
        <v>1.0546143729520237E-2</v>
      </c>
      <c r="M4" s="210" t="s">
        <v>221</v>
      </c>
      <c r="N4" s="210" t="s">
        <v>226</v>
      </c>
      <c r="O4" s="210" t="s">
        <v>222</v>
      </c>
      <c r="P4" s="210" t="s">
        <v>222</v>
      </c>
      <c r="Q4" s="210" t="s">
        <v>223</v>
      </c>
      <c r="R4" s="202" t="s">
        <v>224</v>
      </c>
      <c r="S4" s="218" t="s">
        <v>224</v>
      </c>
      <c r="T4" s="199"/>
      <c r="U4" s="199"/>
      <c r="V4" s="199"/>
      <c r="W4" s="213" t="s">
        <v>152</v>
      </c>
      <c r="X4" s="214">
        <v>5000000</v>
      </c>
      <c r="Y4" s="214">
        <v>1079.2684151702758</v>
      </c>
      <c r="Z4" s="214">
        <v>4632.7678358039893</v>
      </c>
      <c r="AA4" s="215"/>
      <c r="AE4" s="216"/>
      <c r="AF4" s="216"/>
      <c r="AG4" s="216"/>
      <c r="AI4" s="217"/>
      <c r="AJ4" s="217"/>
      <c r="AK4" s="217"/>
      <c r="AL4" s="217"/>
      <c r="AM4" s="217"/>
      <c r="AN4" s="217"/>
      <c r="AO4" s="217"/>
      <c r="AP4" s="217"/>
    </row>
    <row r="5" spans="1:42" s="212" customFormat="1" ht="11.5" customHeight="1" x14ac:dyDescent="0.35">
      <c r="A5" s="201"/>
      <c r="B5" s="202">
        <f t="shared" ref="B5:B13" si="0">+B4+1</f>
        <v>3</v>
      </c>
      <c r="C5" s="202" t="s">
        <v>41</v>
      </c>
      <c r="D5" s="202" t="s">
        <v>29</v>
      </c>
      <c r="E5" s="203">
        <v>44197</v>
      </c>
      <c r="F5" s="204">
        <v>107.79058215120176</v>
      </c>
      <c r="G5" s="205">
        <v>108038</v>
      </c>
      <c r="H5" s="206">
        <v>0.47310000000000002</v>
      </c>
      <c r="I5" s="207">
        <v>0.84</v>
      </c>
      <c r="J5" s="208">
        <v>997.7098997686162</v>
      </c>
      <c r="K5" s="207">
        <v>6.5707975485288214E-2</v>
      </c>
      <c r="L5" s="209">
        <v>2.2645574759971192E-2</v>
      </c>
      <c r="M5" s="210" t="s">
        <v>221</v>
      </c>
      <c r="N5" s="210" t="s">
        <v>222</v>
      </c>
      <c r="O5" s="210" t="s">
        <v>222</v>
      </c>
      <c r="P5" s="210" t="s">
        <v>222</v>
      </c>
      <c r="Q5" s="210">
        <v>2020</v>
      </c>
      <c r="R5" s="211" t="s">
        <v>224</v>
      </c>
      <c r="S5" s="211" t="s">
        <v>224</v>
      </c>
      <c r="T5" s="199"/>
      <c r="U5" s="199"/>
      <c r="V5" s="219"/>
      <c r="W5" s="213" t="s">
        <v>41</v>
      </c>
      <c r="X5" s="214">
        <v>5000000</v>
      </c>
      <c r="Y5" s="214">
        <v>997.7098997686162</v>
      </c>
      <c r="Z5" s="214">
        <v>5011.4767841429402</v>
      </c>
      <c r="AA5" s="215"/>
      <c r="AE5" s="216"/>
      <c r="AF5" s="216"/>
      <c r="AG5" s="216"/>
      <c r="AI5" s="217"/>
      <c r="AJ5" s="217"/>
      <c r="AK5" s="217"/>
      <c r="AL5" s="217"/>
      <c r="AM5" s="217"/>
      <c r="AN5" s="217"/>
      <c r="AO5" s="217"/>
      <c r="AP5" s="217"/>
    </row>
    <row r="6" spans="1:42" s="212" customFormat="1" ht="11.5" customHeight="1" x14ac:dyDescent="0.35">
      <c r="A6" s="201"/>
      <c r="B6" s="202">
        <f t="shared" si="0"/>
        <v>4</v>
      </c>
      <c r="C6" s="202" t="s">
        <v>72</v>
      </c>
      <c r="D6" s="202" t="s">
        <v>30</v>
      </c>
      <c r="E6" s="203">
        <v>44197</v>
      </c>
      <c r="F6" s="204">
        <v>55.846369229999993</v>
      </c>
      <c r="G6" s="205">
        <v>45909</v>
      </c>
      <c r="H6" s="206">
        <v>0.746017660808588</v>
      </c>
      <c r="I6" s="207">
        <v>0.75943641243182414</v>
      </c>
      <c r="J6" s="208">
        <v>1216.4579762138142</v>
      </c>
      <c r="K6" s="207">
        <v>0.10735663014860243</v>
      </c>
      <c r="L6" s="209">
        <v>5.7848344387347397E-4</v>
      </c>
      <c r="M6" s="210" t="s">
        <v>226</v>
      </c>
      <c r="N6" s="210" t="s">
        <v>222</v>
      </c>
      <c r="O6" s="210" t="s">
        <v>222</v>
      </c>
      <c r="P6" s="210" t="s">
        <v>222</v>
      </c>
      <c r="Q6" s="210">
        <v>2018</v>
      </c>
      <c r="R6" s="211">
        <v>0.59</v>
      </c>
      <c r="S6" s="211" t="s">
        <v>224</v>
      </c>
      <c r="T6" s="199"/>
      <c r="U6" s="199"/>
      <c r="V6" s="219"/>
      <c r="W6" s="213" t="s">
        <v>49</v>
      </c>
      <c r="X6" s="214">
        <v>3000000</v>
      </c>
      <c r="Y6" s="214">
        <v>2244.7568708177964</v>
      </c>
      <c r="Z6" s="214">
        <v>1336.4476300308897</v>
      </c>
      <c r="AA6" s="215"/>
      <c r="AE6" s="216"/>
      <c r="AF6" s="216"/>
      <c r="AG6" s="216"/>
      <c r="AI6" s="217"/>
      <c r="AJ6" s="217"/>
      <c r="AK6" s="217"/>
      <c r="AL6" s="217"/>
      <c r="AM6" s="217"/>
      <c r="AN6" s="217"/>
      <c r="AO6" s="217"/>
      <c r="AP6" s="217"/>
    </row>
    <row r="7" spans="1:42" s="212" customFormat="1" ht="11.5" customHeight="1" x14ac:dyDescent="0.35">
      <c r="A7" s="201"/>
      <c r="B7" s="202">
        <f t="shared" si="0"/>
        <v>5</v>
      </c>
      <c r="C7" s="202" t="s">
        <v>49</v>
      </c>
      <c r="D7" s="202" t="s">
        <v>30</v>
      </c>
      <c r="E7" s="203">
        <v>44228</v>
      </c>
      <c r="F7" s="204">
        <v>43.945605260000001</v>
      </c>
      <c r="G7" s="205">
        <v>19577</v>
      </c>
      <c r="H7" s="206">
        <v>0.53939999999999999</v>
      </c>
      <c r="I7" s="207">
        <v>0.53590000000000004</v>
      </c>
      <c r="J7" s="208">
        <v>2244.7568708177964</v>
      </c>
      <c r="K7" s="207">
        <v>0.19810756957177622</v>
      </c>
      <c r="L7" s="209">
        <v>6.5556266274076121E-3</v>
      </c>
      <c r="M7" s="210" t="s">
        <v>221</v>
      </c>
      <c r="N7" s="210" t="s">
        <v>222</v>
      </c>
      <c r="O7" s="210" t="s">
        <v>222</v>
      </c>
      <c r="P7" s="205" t="s">
        <v>227</v>
      </c>
      <c r="Q7" s="210" t="s">
        <v>223</v>
      </c>
      <c r="R7" s="211">
        <v>0.43</v>
      </c>
      <c r="S7" s="211" t="s">
        <v>224</v>
      </c>
      <c r="T7" s="199"/>
      <c r="U7" s="219"/>
      <c r="V7" s="219"/>
      <c r="W7" s="213" t="s">
        <v>72</v>
      </c>
      <c r="X7" s="214">
        <v>1200000</v>
      </c>
      <c r="Y7" s="214">
        <v>1216.4579762138142</v>
      </c>
      <c r="Z7" s="214">
        <v>986.47057560916403</v>
      </c>
      <c r="AA7" s="215"/>
      <c r="AE7" s="216"/>
      <c r="AF7" s="216"/>
      <c r="AG7" s="216"/>
      <c r="AI7" s="217"/>
      <c r="AJ7" s="217"/>
      <c r="AK7" s="217"/>
      <c r="AL7" s="217"/>
      <c r="AM7" s="217"/>
      <c r="AN7" s="217"/>
      <c r="AO7" s="217"/>
      <c r="AP7" s="217"/>
    </row>
    <row r="8" spans="1:42" s="212" customFormat="1" ht="11.5" customHeight="1" x14ac:dyDescent="0.35">
      <c r="A8" s="201"/>
      <c r="B8" s="202">
        <f t="shared" si="0"/>
        <v>6</v>
      </c>
      <c r="C8" s="202" t="s">
        <v>198</v>
      </c>
      <c r="D8" s="202" t="s">
        <v>30</v>
      </c>
      <c r="E8" s="203">
        <v>44228</v>
      </c>
      <c r="F8" s="204">
        <v>58.699644520000007</v>
      </c>
      <c r="G8" s="205">
        <v>17685</v>
      </c>
      <c r="H8" s="206">
        <v>0.43169999999999997</v>
      </c>
      <c r="I8" s="207">
        <v>0.72040000000000004</v>
      </c>
      <c r="J8" s="208">
        <v>3319.1769590048066</v>
      </c>
      <c r="K8" s="207">
        <v>0.29292886409008972</v>
      </c>
      <c r="L8" s="209">
        <v>2.9469718499072098E-3</v>
      </c>
      <c r="M8" s="209" t="s">
        <v>221</v>
      </c>
      <c r="N8" s="210" t="s">
        <v>222</v>
      </c>
      <c r="O8" s="210" t="s">
        <v>222</v>
      </c>
      <c r="P8" s="205" t="s">
        <v>222</v>
      </c>
      <c r="Q8" s="210">
        <v>2019</v>
      </c>
      <c r="R8" s="211">
        <v>0.35</v>
      </c>
      <c r="S8" s="211" t="s">
        <v>224</v>
      </c>
      <c r="T8" s="199"/>
      <c r="U8" s="219"/>
      <c r="V8" s="219"/>
      <c r="W8" s="213" t="s">
        <v>79</v>
      </c>
      <c r="X8" s="214">
        <v>1200000</v>
      </c>
      <c r="Y8" s="214">
        <v>1216.4579762138142</v>
      </c>
      <c r="Z8" s="214">
        <v>986.47057560916403</v>
      </c>
      <c r="AA8" s="215"/>
      <c r="AE8" s="216"/>
      <c r="AF8" s="216"/>
      <c r="AG8" s="216"/>
      <c r="AI8" s="217"/>
      <c r="AJ8" s="217"/>
      <c r="AK8" s="217"/>
      <c r="AL8" s="217"/>
      <c r="AM8" s="217"/>
      <c r="AN8" s="217"/>
      <c r="AO8" s="217"/>
      <c r="AP8" s="217"/>
    </row>
    <row r="9" spans="1:42" s="212" customFormat="1" ht="11.5" customHeight="1" x14ac:dyDescent="0.35">
      <c r="A9" s="201"/>
      <c r="B9" s="202">
        <f t="shared" si="0"/>
        <v>7</v>
      </c>
      <c r="C9" s="202" t="s">
        <v>228</v>
      </c>
      <c r="D9" s="202" t="s">
        <v>229</v>
      </c>
      <c r="E9" s="203">
        <v>44228</v>
      </c>
      <c r="F9" s="204">
        <v>11.210213550000001</v>
      </c>
      <c r="G9" s="205">
        <v>22969</v>
      </c>
      <c r="H9" s="206">
        <v>0.81026601071008753</v>
      </c>
      <c r="I9" s="207">
        <v>0.12260002612216465</v>
      </c>
      <c r="J9" s="208">
        <v>488.05840698332537</v>
      </c>
      <c r="K9" s="207">
        <v>5.4893533571400893E-2</v>
      </c>
      <c r="L9" s="209">
        <v>1.327665669106155E-2</v>
      </c>
      <c r="M9" s="209" t="s">
        <v>230</v>
      </c>
      <c r="N9" s="210" t="s">
        <v>222</v>
      </c>
      <c r="O9" s="210" t="s">
        <v>226</v>
      </c>
      <c r="P9" s="210" t="s">
        <v>222</v>
      </c>
      <c r="Q9" s="210">
        <v>2018</v>
      </c>
      <c r="R9" s="211" t="s">
        <v>224</v>
      </c>
      <c r="S9" s="211">
        <v>0.19</v>
      </c>
      <c r="T9" s="199"/>
      <c r="U9" s="219"/>
      <c r="V9" s="219"/>
      <c r="W9" s="213" t="s">
        <v>154</v>
      </c>
      <c r="X9" s="214">
        <v>840000</v>
      </c>
      <c r="Y9" s="214">
        <v>3319.1769590048066</v>
      </c>
      <c r="Z9" s="214">
        <v>253.07478642291443</v>
      </c>
      <c r="AA9" s="215"/>
      <c r="AE9" s="216"/>
      <c r="AF9" s="216"/>
      <c r="AG9" s="216"/>
      <c r="AI9" s="217"/>
      <c r="AJ9" s="217"/>
      <c r="AK9" s="217"/>
      <c r="AL9" s="217"/>
      <c r="AM9" s="217"/>
      <c r="AN9" s="217"/>
      <c r="AO9" s="217"/>
      <c r="AP9" s="217"/>
    </row>
    <row r="10" spans="1:42" s="212" customFormat="1" ht="11.5" customHeight="1" x14ac:dyDescent="0.35">
      <c r="A10" s="201"/>
      <c r="B10" s="202">
        <f t="shared" si="0"/>
        <v>8</v>
      </c>
      <c r="C10" s="220" t="s">
        <v>231</v>
      </c>
      <c r="D10" s="202" t="s">
        <v>27</v>
      </c>
      <c r="E10" s="203">
        <v>44228</v>
      </c>
      <c r="F10" s="204">
        <v>7.1121520655184876</v>
      </c>
      <c r="G10" s="205">
        <v>10143</v>
      </c>
      <c r="H10" s="206">
        <v>0.68273686286108648</v>
      </c>
      <c r="I10" s="207">
        <v>0.38538893818396924</v>
      </c>
      <c r="J10" s="208">
        <v>701.18821507625819</v>
      </c>
      <c r="K10" s="207">
        <v>0.12305865480453812</v>
      </c>
      <c r="L10" s="209">
        <v>0</v>
      </c>
      <c r="M10" s="209" t="s">
        <v>226</v>
      </c>
      <c r="N10" s="210" t="s">
        <v>222</v>
      </c>
      <c r="O10" s="210" t="s">
        <v>226</v>
      </c>
      <c r="P10" s="205" t="s">
        <v>232</v>
      </c>
      <c r="Q10" s="210" t="s">
        <v>223</v>
      </c>
      <c r="R10" s="211" t="s">
        <v>224</v>
      </c>
      <c r="S10" s="211" t="s">
        <v>224</v>
      </c>
      <c r="T10" s="199"/>
      <c r="U10" s="219"/>
      <c r="V10" s="199"/>
      <c r="W10" s="213" t="s">
        <v>192</v>
      </c>
      <c r="X10" s="214">
        <v>750000</v>
      </c>
      <c r="Y10" s="214">
        <v>488.05840698332537</v>
      </c>
      <c r="Z10" s="214">
        <v>1536.7013235889694</v>
      </c>
      <c r="AA10" s="215"/>
      <c r="AE10" s="216"/>
      <c r="AF10" s="216"/>
      <c r="AG10" s="216"/>
      <c r="AI10" s="217"/>
      <c r="AJ10" s="217"/>
      <c r="AK10" s="217"/>
      <c r="AL10" s="217"/>
      <c r="AM10" s="217"/>
      <c r="AN10" s="217"/>
      <c r="AO10" s="217"/>
      <c r="AP10" s="217"/>
    </row>
    <row r="11" spans="1:42" s="212" customFormat="1" ht="11.5" customHeight="1" x14ac:dyDescent="0.35">
      <c r="A11" s="201"/>
      <c r="B11" s="202">
        <f t="shared" si="0"/>
        <v>9</v>
      </c>
      <c r="C11" s="220" t="s">
        <v>200</v>
      </c>
      <c r="D11" s="202" t="s">
        <v>27</v>
      </c>
      <c r="E11" s="203">
        <v>44166</v>
      </c>
      <c r="F11" s="204">
        <v>30.076141659858756</v>
      </c>
      <c r="G11" s="205">
        <v>12534</v>
      </c>
      <c r="H11" s="206">
        <v>0.51053135471517475</v>
      </c>
      <c r="I11" s="207">
        <v>0.5327110260092548</v>
      </c>
      <c r="J11" s="208">
        <v>2399.5645173016401</v>
      </c>
      <c r="K11" s="207">
        <v>0.42112399391043176</v>
      </c>
      <c r="L11" s="209">
        <v>6.8574455874215517E-3</v>
      </c>
      <c r="M11" s="209" t="s">
        <v>226</v>
      </c>
      <c r="N11" s="210" t="s">
        <v>222</v>
      </c>
      <c r="O11" s="210" t="s">
        <v>222</v>
      </c>
      <c r="P11" s="205" t="s">
        <v>232</v>
      </c>
      <c r="Q11" s="210" t="s">
        <v>223</v>
      </c>
      <c r="R11" s="211" t="s">
        <v>224</v>
      </c>
      <c r="S11" s="211" t="s">
        <v>224</v>
      </c>
      <c r="T11" s="199"/>
      <c r="U11" s="219"/>
      <c r="V11" s="219"/>
      <c r="W11" s="213" t="s">
        <v>231</v>
      </c>
      <c r="X11" s="214">
        <v>500000</v>
      </c>
      <c r="Y11" s="214">
        <v>701.18821507625819</v>
      </c>
      <c r="Z11" s="214">
        <v>713.07530453235324</v>
      </c>
      <c r="AA11" s="215"/>
      <c r="AE11" s="216"/>
      <c r="AF11" s="216"/>
      <c r="AG11" s="216"/>
      <c r="AI11" s="217"/>
      <c r="AJ11" s="217"/>
      <c r="AK11" s="217"/>
      <c r="AL11" s="217"/>
      <c r="AM11" s="217"/>
      <c r="AN11" s="217"/>
      <c r="AO11" s="217"/>
      <c r="AP11" s="217"/>
    </row>
    <row r="12" spans="1:42" s="212" customFormat="1" ht="11.5" customHeight="1" x14ac:dyDescent="0.35">
      <c r="A12" s="201"/>
      <c r="B12" s="202">
        <f t="shared" si="0"/>
        <v>10</v>
      </c>
      <c r="C12" s="202" t="s">
        <v>193</v>
      </c>
      <c r="D12" s="202" t="s">
        <v>63</v>
      </c>
      <c r="E12" s="203">
        <v>44228</v>
      </c>
      <c r="F12" s="204">
        <v>44.106789179131319</v>
      </c>
      <c r="G12" s="205">
        <v>99635</v>
      </c>
      <c r="H12" s="206">
        <v>0.89900000000000002</v>
      </c>
      <c r="I12" s="207">
        <v>0.11</v>
      </c>
      <c r="J12" s="208">
        <v>442.68368724977489</v>
      </c>
      <c r="K12" s="207">
        <v>2.184366363612824E-2</v>
      </c>
      <c r="L12" s="209">
        <v>3.4466711897430543E-3</v>
      </c>
      <c r="M12" s="209" t="s">
        <v>230</v>
      </c>
      <c r="N12" s="210" t="s">
        <v>222</v>
      </c>
      <c r="O12" s="210" t="s">
        <v>226</v>
      </c>
      <c r="P12" s="205" t="s">
        <v>222</v>
      </c>
      <c r="Q12" s="210">
        <v>2019</v>
      </c>
      <c r="R12" s="211" t="s">
        <v>224</v>
      </c>
      <c r="S12" s="221" t="s">
        <v>224</v>
      </c>
      <c r="T12" s="199"/>
      <c r="U12" s="199"/>
      <c r="V12" s="219"/>
      <c r="W12" s="213" t="s">
        <v>233</v>
      </c>
      <c r="X12" s="214">
        <v>2800000</v>
      </c>
      <c r="Y12" s="214">
        <v>2399.5645173016401</v>
      </c>
      <c r="Z12" s="214">
        <v>1166.8783980639362</v>
      </c>
      <c r="AA12" s="215"/>
      <c r="AE12" s="216"/>
      <c r="AF12" s="216"/>
      <c r="AG12" s="216"/>
      <c r="AI12" s="217"/>
      <c r="AJ12" s="217"/>
      <c r="AK12" s="217"/>
      <c r="AL12" s="217"/>
      <c r="AM12" s="217"/>
      <c r="AN12" s="217"/>
      <c r="AO12" s="217"/>
      <c r="AP12" s="217"/>
    </row>
    <row r="13" spans="1:42" s="212" customFormat="1" ht="11.5" customHeight="1" x14ac:dyDescent="0.35">
      <c r="A13" s="201"/>
      <c r="B13" s="202">
        <f t="shared" si="0"/>
        <v>11</v>
      </c>
      <c r="C13" s="202" t="s">
        <v>82</v>
      </c>
      <c r="D13" s="202" t="s">
        <v>197</v>
      </c>
      <c r="E13" s="203">
        <v>44136</v>
      </c>
      <c r="F13" s="204">
        <v>46.214161560186461</v>
      </c>
      <c r="G13" s="205">
        <v>43575</v>
      </c>
      <c r="H13" s="206">
        <v>0.56599999999999995</v>
      </c>
      <c r="I13" s="207">
        <v>0.1605</v>
      </c>
      <c r="J13" s="208">
        <v>1060.5659566307852</v>
      </c>
      <c r="K13" s="207">
        <v>8.1676238477534482E-2</v>
      </c>
      <c r="L13" s="209">
        <v>5.2903339221642866E-5</v>
      </c>
      <c r="M13" s="210" t="s">
        <v>221</v>
      </c>
      <c r="N13" s="210" t="s">
        <v>222</v>
      </c>
      <c r="O13" s="210" t="s">
        <v>226</v>
      </c>
      <c r="P13" s="205" t="s">
        <v>234</v>
      </c>
      <c r="Q13" s="210">
        <v>2018</v>
      </c>
      <c r="R13" s="211" t="s">
        <v>224</v>
      </c>
      <c r="S13" s="221" t="s">
        <v>224</v>
      </c>
      <c r="T13" s="199"/>
      <c r="U13" s="219"/>
      <c r="V13" s="199"/>
      <c r="W13" s="213" t="s">
        <v>85</v>
      </c>
      <c r="X13" s="214">
        <v>2000000</v>
      </c>
      <c r="Y13" s="214">
        <v>442.68368724977489</v>
      </c>
      <c r="Z13" s="214">
        <v>4517.8985754483929</v>
      </c>
      <c r="AA13" s="215"/>
      <c r="AE13" s="216"/>
      <c r="AF13" s="216"/>
      <c r="AG13" s="216"/>
      <c r="AI13" s="217"/>
      <c r="AJ13" s="217"/>
      <c r="AK13" s="217"/>
      <c r="AL13" s="217"/>
      <c r="AM13" s="217"/>
      <c r="AN13" s="217"/>
      <c r="AO13" s="217"/>
      <c r="AP13" s="217"/>
    </row>
    <row r="14" spans="1:42" s="238" customFormat="1" ht="9" customHeight="1" x14ac:dyDescent="0.3">
      <c r="A14" s="222"/>
      <c r="B14" s="223"/>
      <c r="C14" s="223"/>
      <c r="D14" s="223"/>
      <c r="E14" s="224"/>
      <c r="F14" s="225"/>
      <c r="G14" s="226"/>
      <c r="H14" s="227"/>
      <c r="I14" s="228"/>
      <c r="J14" s="229"/>
      <c r="K14" s="228"/>
      <c r="L14" s="230"/>
      <c r="M14" s="230"/>
      <c r="N14" s="231"/>
      <c r="O14" s="231"/>
      <c r="P14" s="226"/>
      <c r="Q14" s="231"/>
      <c r="R14" s="232"/>
      <c r="S14" s="233"/>
      <c r="T14" s="199"/>
      <c r="U14" s="234"/>
      <c r="V14" s="199"/>
      <c r="W14" s="235" t="s">
        <v>82</v>
      </c>
      <c r="X14" s="236">
        <v>1000000</v>
      </c>
      <c r="Y14" s="236">
        <v>1060.5659566307852</v>
      </c>
      <c r="Z14" s="236">
        <v>942.89279582083543</v>
      </c>
      <c r="AA14" s="237"/>
      <c r="AE14" s="239"/>
      <c r="AF14" s="239"/>
      <c r="AG14" s="239"/>
      <c r="AI14" s="240"/>
      <c r="AJ14" s="240"/>
      <c r="AK14" s="240"/>
      <c r="AL14" s="240"/>
      <c r="AM14" s="240"/>
      <c r="AN14" s="240"/>
      <c r="AO14" s="240"/>
      <c r="AP14" s="240"/>
    </row>
    <row r="15" spans="1:42" s="238" customFormat="1" ht="9" customHeight="1" x14ac:dyDescent="0.3">
      <c r="A15" s="222"/>
      <c r="B15" s="223"/>
      <c r="C15" s="223"/>
      <c r="D15" s="223"/>
      <c r="E15" s="224"/>
      <c r="F15" s="225"/>
      <c r="G15" s="226"/>
      <c r="H15" s="227"/>
      <c r="I15" s="228"/>
      <c r="J15" s="229"/>
      <c r="K15" s="233"/>
      <c r="L15" s="241"/>
      <c r="M15" s="241"/>
      <c r="N15" s="242"/>
      <c r="O15" s="242"/>
      <c r="P15" s="229"/>
      <c r="Q15" s="242"/>
      <c r="R15" s="232"/>
      <c r="S15" s="233"/>
      <c r="T15" s="199"/>
      <c r="U15" s="234"/>
      <c r="V15" s="199"/>
      <c r="W15" s="235"/>
      <c r="X15" s="236"/>
      <c r="Y15" s="236"/>
      <c r="Z15" s="236"/>
      <c r="AA15" s="237"/>
      <c r="AE15" s="239"/>
      <c r="AF15" s="239"/>
      <c r="AG15" s="239"/>
      <c r="AI15" s="240"/>
      <c r="AJ15" s="240"/>
      <c r="AK15" s="240"/>
      <c r="AL15" s="240"/>
      <c r="AM15" s="240"/>
      <c r="AN15" s="240"/>
      <c r="AO15" s="240"/>
      <c r="AP15" s="240"/>
    </row>
    <row r="16" spans="1:42" s="238" customFormat="1" ht="9" customHeight="1" x14ac:dyDescent="0.3">
      <c r="A16" s="222"/>
      <c r="B16" s="223"/>
      <c r="C16" s="223"/>
      <c r="D16" s="223"/>
      <c r="E16" s="224"/>
      <c r="F16" s="225"/>
      <c r="G16" s="226"/>
      <c r="H16" s="227"/>
      <c r="I16" s="228"/>
      <c r="J16" s="229"/>
      <c r="K16" s="233"/>
      <c r="L16" s="241"/>
      <c r="M16" s="241"/>
      <c r="N16" s="242"/>
      <c r="O16" s="242"/>
      <c r="P16" s="229"/>
      <c r="Q16" s="242"/>
      <c r="R16" s="232"/>
      <c r="S16" s="233"/>
      <c r="T16" s="199"/>
      <c r="U16" s="234"/>
      <c r="V16" s="234"/>
      <c r="W16" s="235"/>
      <c r="X16" s="236"/>
      <c r="Y16" s="236"/>
      <c r="Z16" s="236"/>
      <c r="AA16" s="237"/>
      <c r="AE16" s="239"/>
      <c r="AF16" s="239"/>
      <c r="AG16" s="239"/>
      <c r="AI16" s="240"/>
      <c r="AJ16" s="240"/>
      <c r="AK16" s="240"/>
      <c r="AL16" s="240"/>
      <c r="AM16" s="240"/>
      <c r="AN16" s="240"/>
      <c r="AO16" s="240"/>
      <c r="AP16" s="240"/>
    </row>
    <row r="17" spans="1:42" s="238" customFormat="1" ht="9" customHeight="1" x14ac:dyDescent="0.3">
      <c r="A17" s="222"/>
      <c r="B17" s="223"/>
      <c r="C17" s="223"/>
      <c r="D17" s="223"/>
      <c r="E17" s="224"/>
      <c r="F17" s="225"/>
      <c r="G17" s="226"/>
      <c r="H17" s="227"/>
      <c r="I17" s="228"/>
      <c r="J17" s="229"/>
      <c r="K17" s="233"/>
      <c r="L17" s="241"/>
      <c r="M17" s="241"/>
      <c r="N17" s="242"/>
      <c r="O17" s="242"/>
      <c r="P17" s="229"/>
      <c r="Q17" s="242"/>
      <c r="R17" s="232"/>
      <c r="S17" s="233"/>
      <c r="T17" s="199"/>
      <c r="U17" s="234"/>
      <c r="V17" s="243"/>
      <c r="W17" s="235"/>
      <c r="X17" s="236"/>
      <c r="Y17" s="236"/>
      <c r="Z17" s="236"/>
      <c r="AA17" s="237"/>
      <c r="AE17" s="239"/>
      <c r="AF17" s="239"/>
      <c r="AG17" s="239"/>
      <c r="AI17" s="240"/>
      <c r="AJ17" s="240"/>
      <c r="AK17" s="240"/>
      <c r="AL17" s="240"/>
      <c r="AM17" s="240"/>
      <c r="AN17" s="240"/>
      <c r="AO17" s="240"/>
      <c r="AP17" s="240"/>
    </row>
    <row r="18" spans="1:42" s="238" customFormat="1" ht="9" customHeight="1" x14ac:dyDescent="0.3">
      <c r="A18" s="222"/>
      <c r="B18" s="223"/>
      <c r="C18" s="223"/>
      <c r="D18" s="223"/>
      <c r="E18" s="224"/>
      <c r="F18" s="225"/>
      <c r="G18" s="226"/>
      <c r="H18" s="227"/>
      <c r="I18" s="228"/>
      <c r="J18" s="229"/>
      <c r="K18" s="233"/>
      <c r="L18" s="241"/>
      <c r="M18" s="241"/>
      <c r="N18" s="242"/>
      <c r="O18" s="242"/>
      <c r="P18" s="229"/>
      <c r="Q18" s="242"/>
      <c r="R18" s="232">
        <v>0.43</v>
      </c>
      <c r="S18" s="233" t="s">
        <v>224</v>
      </c>
      <c r="T18" s="199"/>
      <c r="U18" s="234"/>
      <c r="V18" s="243"/>
      <c r="W18" s="235"/>
      <c r="X18" s="236">
        <f>+SUM(X3:X14)</f>
        <v>27290000</v>
      </c>
      <c r="Y18" s="236">
        <f>+SUM(Y3:Y14)</f>
        <v>17910.060593317827</v>
      </c>
      <c r="Z18" s="236">
        <f>+SUM(Z3:Z14)</f>
        <v>23541.789317337418</v>
      </c>
      <c r="AA18" s="237"/>
      <c r="AE18" s="239"/>
      <c r="AF18" s="239"/>
      <c r="AG18" s="239"/>
      <c r="AI18" s="240"/>
      <c r="AJ18" s="240"/>
      <c r="AK18" s="240"/>
      <c r="AL18" s="240"/>
      <c r="AM18" s="240"/>
      <c r="AN18" s="240"/>
      <c r="AO18" s="240"/>
      <c r="AP18" s="240"/>
    </row>
    <row r="19" spans="1:42" s="238" customFormat="1" ht="9" customHeight="1" x14ac:dyDescent="0.3">
      <c r="A19" s="222"/>
      <c r="B19" s="244"/>
      <c r="C19" s="244"/>
      <c r="D19" s="245"/>
      <c r="E19" s="246"/>
      <c r="F19" s="247"/>
      <c r="G19" s="248"/>
      <c r="H19" s="249"/>
      <c r="I19" s="250"/>
      <c r="J19" s="251"/>
      <c r="K19" s="252"/>
      <c r="L19" s="253"/>
      <c r="M19" s="253"/>
      <c r="N19" s="254"/>
      <c r="O19" s="254"/>
      <c r="P19" s="251"/>
      <c r="Q19" s="254"/>
      <c r="R19" s="232">
        <v>0.59</v>
      </c>
      <c r="S19" s="232" t="s">
        <v>224</v>
      </c>
      <c r="T19" s="199"/>
      <c r="U19" s="234"/>
      <c r="V19" s="243"/>
      <c r="W19" s="191"/>
      <c r="X19" s="191"/>
      <c r="Y19" s="191"/>
      <c r="Z19" s="191"/>
      <c r="AA19" s="237"/>
      <c r="AI19" s="240"/>
      <c r="AJ19" s="240"/>
      <c r="AK19" s="240"/>
      <c r="AL19" s="240"/>
      <c r="AM19" s="240"/>
      <c r="AN19" s="240"/>
      <c r="AO19" s="240"/>
      <c r="AP19" s="240"/>
    </row>
    <row r="20" spans="1:42" s="238" customFormat="1" ht="9" customHeight="1" x14ac:dyDescent="0.3">
      <c r="A20" s="222"/>
      <c r="B20" s="191"/>
      <c r="C20" s="191"/>
      <c r="D20" s="245"/>
      <c r="E20" s="191"/>
      <c r="F20" s="191"/>
      <c r="G20" s="255"/>
      <c r="H20" s="255"/>
      <c r="I20" s="255"/>
      <c r="J20" s="191"/>
      <c r="K20" s="191"/>
      <c r="L20" s="191"/>
      <c r="M20" s="191"/>
      <c r="N20" s="191"/>
      <c r="O20" s="191"/>
      <c r="P20" s="191"/>
      <c r="Q20" s="191"/>
      <c r="R20" s="232">
        <v>0.34</v>
      </c>
      <c r="S20" s="232" t="s">
        <v>224</v>
      </c>
      <c r="T20" s="199"/>
      <c r="U20" s="234"/>
      <c r="V20" s="243"/>
      <c r="W20" s="191"/>
      <c r="X20" s="191"/>
      <c r="Y20" s="191"/>
      <c r="Z20" s="191"/>
      <c r="AA20" s="237"/>
      <c r="AI20" s="240"/>
      <c r="AJ20" s="240"/>
      <c r="AK20" s="240"/>
      <c r="AL20" s="240"/>
      <c r="AM20" s="240"/>
      <c r="AN20" s="240"/>
      <c r="AO20" s="240"/>
      <c r="AP20" s="240"/>
    </row>
    <row r="21" spans="1:42" s="238" customFormat="1" ht="9" customHeight="1" x14ac:dyDescent="0.3">
      <c r="A21" s="222"/>
      <c r="B21" s="191"/>
      <c r="C21" s="191"/>
      <c r="D21" s="245"/>
      <c r="E21" s="191"/>
      <c r="F21" s="191"/>
      <c r="G21" s="255"/>
      <c r="H21" s="191" t="s">
        <v>235</v>
      </c>
      <c r="I21" s="191">
        <f>+COUNTIF($H$3:$H$13,"&lt;=20%")</f>
        <v>0</v>
      </c>
      <c r="J21" s="191"/>
      <c r="K21" s="191" t="s">
        <v>235</v>
      </c>
      <c r="L21" s="191">
        <f>+COUNTIF($I$3:$I$13,"&lt;=20%")</f>
        <v>4</v>
      </c>
      <c r="M21" s="191"/>
      <c r="N21" s="191"/>
      <c r="O21" s="191"/>
      <c r="P21" s="191"/>
      <c r="Q21" s="191"/>
      <c r="R21" s="232" t="s">
        <v>224</v>
      </c>
      <c r="S21" s="232" t="s">
        <v>224</v>
      </c>
      <c r="T21" s="199"/>
      <c r="U21" s="234"/>
      <c r="V21" s="243"/>
      <c r="W21" s="191"/>
      <c r="X21" s="191"/>
      <c r="Y21" s="191"/>
      <c r="Z21" s="191"/>
      <c r="AA21" s="237"/>
      <c r="AI21" s="240"/>
      <c r="AJ21" s="240"/>
      <c r="AK21" s="240"/>
      <c r="AL21" s="240"/>
      <c r="AM21" s="240"/>
      <c r="AN21" s="240"/>
      <c r="AO21" s="240"/>
      <c r="AP21" s="240"/>
    </row>
    <row r="22" spans="1:42" s="238" customFormat="1" ht="9" customHeight="1" x14ac:dyDescent="0.3">
      <c r="A22" s="222"/>
      <c r="B22" s="191"/>
      <c r="C22" s="191"/>
      <c r="D22" s="245"/>
      <c r="E22" s="191"/>
      <c r="F22" s="191"/>
      <c r="G22" s="255"/>
      <c r="H22" s="191" t="s">
        <v>236</v>
      </c>
      <c r="I22" s="191">
        <f>+COUNTIFS($H$3:$H$13,"&gt;20%",$H$3:$H$13,"&lt;=40%")</f>
        <v>0</v>
      </c>
      <c r="J22" s="191"/>
      <c r="K22" s="191" t="s">
        <v>236</v>
      </c>
      <c r="L22" s="191">
        <f>+COUNTIFS($I$3:$I$13,"&gt;20%",$I$3:$I$13,"&lt;=40%")</f>
        <v>2</v>
      </c>
      <c r="M22" s="191"/>
      <c r="N22" s="191"/>
      <c r="O22" s="191"/>
      <c r="P22" s="191"/>
      <c r="Q22" s="191"/>
      <c r="R22" s="232" t="s">
        <v>224</v>
      </c>
      <c r="S22" s="232" t="s">
        <v>224</v>
      </c>
      <c r="T22" s="199"/>
      <c r="U22" s="234"/>
      <c r="V22" s="243"/>
      <c r="W22" s="191"/>
      <c r="X22" s="191"/>
      <c r="Y22" s="191"/>
      <c r="Z22" s="191"/>
      <c r="AA22" s="237"/>
      <c r="AI22" s="240"/>
      <c r="AJ22" s="240"/>
      <c r="AK22" s="240"/>
      <c r="AL22" s="240"/>
      <c r="AM22" s="240"/>
      <c r="AN22" s="240"/>
      <c r="AO22" s="240"/>
      <c r="AP22" s="240"/>
    </row>
    <row r="23" spans="1:42" s="238" customFormat="1" ht="9" customHeight="1" x14ac:dyDescent="0.3">
      <c r="A23" s="222"/>
      <c r="B23" s="191"/>
      <c r="C23" s="191"/>
      <c r="D23" s="245"/>
      <c r="E23" s="191"/>
      <c r="F23" s="191"/>
      <c r="G23" s="255"/>
      <c r="H23" s="191" t="s">
        <v>237</v>
      </c>
      <c r="I23" s="191">
        <f>+COUNTIFS($H$3:$H$13,"&gt;40%",$H$3:$H$13,"&lt;=60%")</f>
        <v>6</v>
      </c>
      <c r="J23" s="191"/>
      <c r="K23" s="191" t="s">
        <v>237</v>
      </c>
      <c r="L23" s="191">
        <f>+COUNTIFS($I$3:$I$13,"&gt;40%",$I$3:$I$13,"&lt;=60%")</f>
        <v>2</v>
      </c>
      <c r="M23" s="191"/>
      <c r="N23" s="191"/>
      <c r="O23" s="191"/>
      <c r="P23" s="191"/>
      <c r="Q23" s="191"/>
      <c r="R23" s="232" t="s">
        <v>224</v>
      </c>
      <c r="S23" s="232" t="s">
        <v>224</v>
      </c>
      <c r="T23" s="199"/>
      <c r="U23" s="234"/>
      <c r="V23" s="243"/>
      <c r="W23" s="191"/>
      <c r="X23" s="191"/>
      <c r="Y23" s="191"/>
      <c r="Z23" s="191"/>
      <c r="AA23" s="237"/>
      <c r="AI23" s="240"/>
      <c r="AJ23" s="240"/>
      <c r="AK23" s="240"/>
      <c r="AL23" s="240"/>
      <c r="AM23" s="240"/>
      <c r="AN23" s="240"/>
      <c r="AO23" s="240"/>
      <c r="AP23" s="240"/>
    </row>
    <row r="24" spans="1:42" s="238" customFormat="1" ht="9" customHeight="1" x14ac:dyDescent="0.3">
      <c r="A24" s="222"/>
      <c r="B24" s="191"/>
      <c r="C24" s="191"/>
      <c r="D24" s="191"/>
      <c r="E24" s="191"/>
      <c r="F24" s="191"/>
      <c r="G24" s="191"/>
      <c r="H24" s="191" t="s">
        <v>238</v>
      </c>
      <c r="I24" s="191">
        <f>+COUNTIFS($H$3:$H$13,"&gt;60%",$H$3:$H$13,"&lt;=80%")</f>
        <v>3</v>
      </c>
      <c r="J24" s="191"/>
      <c r="K24" s="191" t="s">
        <v>238</v>
      </c>
      <c r="L24" s="191">
        <f>+COUNTIFS($I$3:$I$13,"&gt;60%",$I$3:$I$13,"&lt;=80%")</f>
        <v>2</v>
      </c>
      <c r="M24" s="191"/>
      <c r="N24" s="191"/>
      <c r="O24" s="191"/>
      <c r="P24" s="191"/>
      <c r="Q24" s="191"/>
      <c r="R24" s="232" t="s">
        <v>224</v>
      </c>
      <c r="S24" s="232" t="s">
        <v>224</v>
      </c>
      <c r="T24" s="199"/>
      <c r="U24" s="234"/>
      <c r="V24" s="243"/>
      <c r="W24" s="191"/>
      <c r="X24" s="191"/>
      <c r="Y24" s="191"/>
      <c r="Z24" s="191"/>
      <c r="AA24" s="256"/>
      <c r="AI24" s="240"/>
      <c r="AJ24" s="240"/>
      <c r="AK24" s="240"/>
      <c r="AL24" s="240"/>
      <c r="AM24" s="240"/>
      <c r="AN24" s="240"/>
      <c r="AO24" s="240"/>
      <c r="AP24" s="240"/>
    </row>
    <row r="25" spans="1:42" s="238" customFormat="1" ht="9" customHeight="1" x14ac:dyDescent="0.3">
      <c r="A25" s="222"/>
      <c r="B25" s="191"/>
      <c r="C25" s="191"/>
      <c r="D25" s="191"/>
      <c r="E25" s="191"/>
      <c r="F25" s="191"/>
      <c r="G25" s="191"/>
      <c r="H25" s="191" t="s">
        <v>239</v>
      </c>
      <c r="I25" s="191">
        <f>+COUNTIFS($H$3:$H$13,"&gt;80%",$H$3:$H$13,"&lt;=100%")</f>
        <v>2</v>
      </c>
      <c r="J25" s="191"/>
      <c r="K25" s="191" t="s">
        <v>239</v>
      </c>
      <c r="L25" s="191">
        <f>+COUNTIFS($I$3:$I$13,"&gt;80%",$I$3:$I$13,"&lt;=100%")</f>
        <v>1</v>
      </c>
      <c r="M25" s="191"/>
      <c r="N25" s="191"/>
      <c r="O25" s="191"/>
      <c r="P25" s="191"/>
      <c r="Q25" s="191"/>
      <c r="R25" s="232" t="s">
        <v>224</v>
      </c>
      <c r="S25" s="232" t="s">
        <v>224</v>
      </c>
      <c r="T25" s="199"/>
      <c r="U25" s="234"/>
      <c r="V25" s="243"/>
      <c r="W25" s="191"/>
      <c r="X25" s="191"/>
      <c r="Y25" s="191"/>
      <c r="Z25" s="191"/>
      <c r="AA25" s="256"/>
      <c r="AI25" s="240"/>
      <c r="AJ25" s="240"/>
      <c r="AK25" s="240"/>
      <c r="AL25" s="240"/>
      <c r="AM25" s="240"/>
      <c r="AN25" s="240"/>
      <c r="AO25" s="240"/>
      <c r="AP25" s="240"/>
    </row>
    <row r="26" spans="1:42" s="238" customFormat="1" ht="9" customHeight="1" x14ac:dyDescent="0.3">
      <c r="A26" s="222"/>
      <c r="B26" s="191"/>
      <c r="C26" s="191"/>
      <c r="D26" s="191"/>
      <c r="E26" s="191"/>
      <c r="F26" s="191"/>
      <c r="G26" s="191"/>
      <c r="H26" s="191" t="s">
        <v>240</v>
      </c>
      <c r="I26" s="191"/>
      <c r="J26" s="191"/>
      <c r="K26" s="191" t="s">
        <v>241</v>
      </c>
      <c r="L26" s="191"/>
      <c r="M26" s="191"/>
      <c r="N26" s="191"/>
      <c r="O26" s="191"/>
      <c r="P26" s="191"/>
      <c r="Q26" s="191"/>
      <c r="R26" s="232" t="s">
        <v>224</v>
      </c>
      <c r="S26" s="232" t="s">
        <v>224</v>
      </c>
      <c r="T26" s="199"/>
      <c r="U26" s="234"/>
      <c r="V26" s="243"/>
      <c r="W26" s="191"/>
      <c r="X26" s="191"/>
      <c r="Y26" s="191"/>
      <c r="Z26" s="191"/>
      <c r="AA26" s="256"/>
      <c r="AI26" s="240"/>
      <c r="AJ26" s="240"/>
      <c r="AK26" s="240"/>
      <c r="AL26" s="240"/>
      <c r="AM26" s="240"/>
      <c r="AN26" s="240"/>
      <c r="AO26" s="240"/>
      <c r="AP26" s="240"/>
    </row>
    <row r="27" spans="1:42" s="238" customFormat="1" ht="9" customHeight="1" x14ac:dyDescent="0.3">
      <c r="A27" s="222"/>
      <c r="B27" s="191"/>
      <c r="C27" s="191"/>
      <c r="D27" s="191"/>
      <c r="E27" s="191"/>
      <c r="F27" s="191"/>
      <c r="G27" s="191"/>
      <c r="H27" s="191"/>
      <c r="I27" s="191"/>
      <c r="J27" s="191"/>
      <c r="K27" s="191"/>
      <c r="L27" s="191"/>
      <c r="M27" s="191"/>
      <c r="N27" s="191"/>
      <c r="O27" s="191"/>
      <c r="P27" s="191"/>
      <c r="Q27" s="191"/>
      <c r="R27" s="232" t="s">
        <v>224</v>
      </c>
      <c r="S27" s="232">
        <v>0.19</v>
      </c>
      <c r="T27" s="199"/>
      <c r="U27" s="257"/>
      <c r="V27" s="243"/>
      <c r="W27" s="191"/>
      <c r="X27" s="191"/>
      <c r="Y27" s="191"/>
      <c r="Z27" s="191"/>
      <c r="AA27" s="256"/>
      <c r="AI27" s="240"/>
      <c r="AJ27" s="240"/>
      <c r="AK27" s="240"/>
      <c r="AL27" s="240"/>
      <c r="AM27" s="240"/>
      <c r="AN27" s="240"/>
      <c r="AO27" s="240"/>
      <c r="AP27" s="240"/>
    </row>
    <row r="28" spans="1:42" s="238" customFormat="1" ht="9" customHeight="1" x14ac:dyDescent="0.3">
      <c r="A28" s="222"/>
      <c r="B28" s="191"/>
      <c r="C28" s="191"/>
      <c r="D28" s="191"/>
      <c r="E28" s="191"/>
      <c r="F28" s="191"/>
      <c r="G28" s="191"/>
      <c r="H28" s="191"/>
      <c r="I28" s="191"/>
      <c r="J28" s="191"/>
      <c r="K28" s="191"/>
      <c r="L28" s="191"/>
      <c r="M28" s="191"/>
      <c r="N28" s="191"/>
      <c r="O28" s="191"/>
      <c r="P28" s="191"/>
      <c r="Q28" s="191"/>
      <c r="R28" s="232" t="s">
        <v>224</v>
      </c>
      <c r="S28" s="232" t="s">
        <v>224</v>
      </c>
      <c r="T28" s="199"/>
      <c r="U28" s="234"/>
      <c r="V28" s="243"/>
      <c r="W28" s="191"/>
      <c r="X28" s="191"/>
      <c r="Y28" s="191"/>
      <c r="Z28" s="191"/>
      <c r="AA28" s="256"/>
      <c r="AI28" s="240"/>
      <c r="AJ28" s="240"/>
      <c r="AK28" s="240"/>
      <c r="AL28" s="240"/>
      <c r="AM28" s="240"/>
      <c r="AN28" s="240"/>
      <c r="AO28" s="240"/>
      <c r="AP28" s="240"/>
    </row>
    <row r="29" spans="1:42" s="238" customFormat="1" ht="9" customHeight="1" x14ac:dyDescent="0.3">
      <c r="A29" s="222"/>
      <c r="B29" s="258" t="s">
        <v>242</v>
      </c>
      <c r="C29" s="191"/>
      <c r="D29" s="191"/>
      <c r="E29" s="191"/>
      <c r="F29" s="191"/>
      <c r="G29" s="191"/>
      <c r="H29" s="191"/>
      <c r="I29" s="191"/>
      <c r="J29" s="191"/>
      <c r="K29" s="191"/>
      <c r="L29" s="191"/>
      <c r="M29" s="191"/>
      <c r="N29" s="191"/>
      <c r="O29" s="191"/>
      <c r="P29" s="191"/>
      <c r="Q29" s="191"/>
      <c r="R29" s="232" t="s">
        <v>224</v>
      </c>
      <c r="S29" s="232" t="s">
        <v>224</v>
      </c>
      <c r="T29" s="199"/>
      <c r="U29" s="234"/>
      <c r="V29" s="259"/>
      <c r="W29" s="191"/>
      <c r="X29" s="191"/>
      <c r="Y29" s="191"/>
      <c r="Z29" s="191"/>
      <c r="AA29" s="256"/>
      <c r="AI29" s="240"/>
      <c r="AJ29" s="240"/>
      <c r="AK29" s="240"/>
      <c r="AL29" s="240"/>
      <c r="AM29" s="240"/>
      <c r="AN29" s="240"/>
      <c r="AO29" s="240"/>
      <c r="AP29" s="240"/>
    </row>
    <row r="30" spans="1:42" s="238" customFormat="1" ht="9" customHeight="1" x14ac:dyDescent="0.3">
      <c r="A30" s="222"/>
      <c r="B30" s="258" t="s">
        <v>243</v>
      </c>
      <c r="C30" s="191"/>
      <c r="D30" s="191"/>
      <c r="E30" s="191"/>
      <c r="F30" s="191"/>
      <c r="G30" s="191"/>
      <c r="H30" s="191"/>
      <c r="I30" s="191"/>
      <c r="J30" s="191"/>
      <c r="K30" s="191"/>
      <c r="L30" s="191"/>
      <c r="M30" s="191"/>
      <c r="N30" s="191"/>
      <c r="O30" s="191"/>
      <c r="P30" s="191"/>
      <c r="Q30" s="191"/>
      <c r="R30" s="232" t="s">
        <v>224</v>
      </c>
      <c r="S30" s="232" t="s">
        <v>224</v>
      </c>
      <c r="T30" s="199"/>
      <c r="U30" s="234"/>
      <c r="V30" s="243"/>
      <c r="W30" s="191"/>
      <c r="X30" s="191"/>
      <c r="Y30" s="191"/>
      <c r="Z30" s="191"/>
      <c r="AA30" s="256"/>
      <c r="AI30" s="240"/>
      <c r="AJ30" s="240"/>
      <c r="AK30" s="240"/>
      <c r="AL30" s="240"/>
      <c r="AM30" s="240"/>
      <c r="AN30" s="240"/>
      <c r="AO30" s="240"/>
      <c r="AP30" s="240"/>
    </row>
    <row r="31" spans="1:42" s="238" customFormat="1" ht="9" customHeight="1" x14ac:dyDescent="0.3">
      <c r="A31" s="222"/>
      <c r="B31" s="258" t="s">
        <v>244</v>
      </c>
      <c r="C31" s="191"/>
      <c r="D31" s="245"/>
      <c r="E31" s="245"/>
      <c r="F31" s="260"/>
      <c r="G31" s="260"/>
      <c r="H31" s="191"/>
      <c r="I31" s="191"/>
      <c r="J31" s="191"/>
      <c r="K31" s="191"/>
      <c r="L31" s="191"/>
      <c r="M31" s="191"/>
      <c r="N31" s="191"/>
      <c r="O31" s="191"/>
      <c r="P31" s="191"/>
      <c r="Q31" s="191"/>
      <c r="R31" s="232" t="s">
        <v>224</v>
      </c>
      <c r="S31" s="232" t="s">
        <v>224</v>
      </c>
      <c r="T31" s="199"/>
      <c r="U31" s="234"/>
      <c r="V31" s="243"/>
      <c r="W31" s="191"/>
      <c r="X31" s="191"/>
      <c r="Y31" s="191"/>
      <c r="Z31" s="191"/>
      <c r="AA31" s="256"/>
      <c r="AI31" s="240"/>
      <c r="AJ31" s="240"/>
      <c r="AK31" s="240"/>
      <c r="AL31" s="240"/>
      <c r="AM31" s="240"/>
      <c r="AN31" s="240"/>
      <c r="AO31" s="240"/>
      <c r="AP31" s="240"/>
    </row>
    <row r="32" spans="1:42" s="240" customFormat="1" ht="9" customHeight="1" x14ac:dyDescent="0.3">
      <c r="A32" s="258"/>
      <c r="B32" s="258" t="s">
        <v>245</v>
      </c>
      <c r="C32" s="191"/>
      <c r="D32" s="245"/>
      <c r="E32" s="245"/>
      <c r="F32" s="260"/>
      <c r="G32" s="191"/>
      <c r="H32" s="191"/>
      <c r="I32" s="191"/>
      <c r="J32" s="191"/>
      <c r="K32" s="191"/>
      <c r="L32" s="191"/>
      <c r="M32" s="191"/>
      <c r="N32" s="191"/>
      <c r="O32" s="260"/>
      <c r="P32" s="191"/>
      <c r="Q32" s="191"/>
      <c r="R32" s="232" t="s">
        <v>224</v>
      </c>
      <c r="S32" s="232" t="s">
        <v>224</v>
      </c>
      <c r="T32" s="199"/>
      <c r="U32" s="234"/>
      <c r="V32" s="261"/>
      <c r="W32" s="191"/>
      <c r="X32" s="191"/>
      <c r="Y32" s="191"/>
      <c r="Z32" s="191"/>
    </row>
    <row r="33" spans="1:42" s="240" customFormat="1" ht="9" customHeight="1" x14ac:dyDescent="0.3">
      <c r="A33" s="258"/>
      <c r="B33" s="258" t="s">
        <v>246</v>
      </c>
      <c r="C33" s="191"/>
      <c r="D33" s="191"/>
      <c r="E33" s="191"/>
      <c r="F33" s="191"/>
      <c r="G33" s="191"/>
      <c r="H33" s="191"/>
      <c r="I33" s="191"/>
      <c r="J33" s="191"/>
      <c r="K33" s="191"/>
      <c r="L33" s="191"/>
      <c r="M33" s="191"/>
      <c r="N33" s="262"/>
      <c r="O33" s="260"/>
      <c r="P33" s="263"/>
      <c r="Q33" s="264"/>
      <c r="R33" s="232" t="s">
        <v>224</v>
      </c>
      <c r="S33" s="232" t="s">
        <v>224</v>
      </c>
      <c r="T33" s="199"/>
      <c r="U33" s="234"/>
      <c r="V33" s="261"/>
      <c r="W33" s="191"/>
      <c r="X33" s="191"/>
      <c r="Y33" s="191"/>
      <c r="Z33" s="191"/>
    </row>
    <row r="34" spans="1:42" s="240" customFormat="1" ht="9" customHeight="1" x14ac:dyDescent="0.3">
      <c r="A34" s="258"/>
      <c r="B34" s="258" t="s">
        <v>247</v>
      </c>
      <c r="C34" s="191"/>
      <c r="D34" s="191"/>
      <c r="E34" s="191"/>
      <c r="F34" s="191"/>
      <c r="G34" s="191"/>
      <c r="H34" s="191"/>
      <c r="I34" s="191"/>
      <c r="J34" s="191"/>
      <c r="K34" s="191"/>
      <c r="L34" s="191"/>
      <c r="M34" s="191"/>
      <c r="N34" s="262"/>
      <c r="O34" s="260"/>
      <c r="P34" s="263"/>
      <c r="Q34" s="264"/>
      <c r="R34" s="232" t="s">
        <v>224</v>
      </c>
      <c r="S34" s="232" t="s">
        <v>224</v>
      </c>
      <c r="T34" s="199"/>
      <c r="W34" s="191"/>
      <c r="X34" s="191"/>
      <c r="Y34" s="191"/>
      <c r="Z34" s="191"/>
      <c r="AC34" s="265" t="s">
        <v>248</v>
      </c>
      <c r="AD34" s="266" t="s">
        <v>249</v>
      </c>
      <c r="AE34" s="266" t="s">
        <v>250</v>
      </c>
      <c r="AF34" s="266" t="s">
        <v>251</v>
      </c>
      <c r="AG34" s="266" t="s">
        <v>252</v>
      </c>
    </row>
    <row r="35" spans="1:42" s="240" customFormat="1" ht="13" customHeight="1" x14ac:dyDescent="0.3">
      <c r="A35" s="258"/>
      <c r="B35" s="258" t="s">
        <v>253</v>
      </c>
      <c r="C35" s="191"/>
      <c r="D35" s="191"/>
      <c r="E35" s="191"/>
      <c r="F35" s="191"/>
      <c r="G35" s="191"/>
      <c r="H35" s="191"/>
      <c r="I35" s="191"/>
      <c r="J35" s="191"/>
      <c r="K35" s="191"/>
      <c r="L35" s="191"/>
      <c r="M35" s="191"/>
      <c r="N35" s="262"/>
      <c r="O35" s="260"/>
      <c r="P35" s="263"/>
      <c r="Q35" s="264"/>
      <c r="R35" s="232" t="s">
        <v>224</v>
      </c>
      <c r="S35" s="232" t="s">
        <v>224</v>
      </c>
      <c r="T35" s="199"/>
      <c r="U35" s="267"/>
      <c r="V35" s="267"/>
      <c r="W35" s="191"/>
      <c r="X35" s="191"/>
      <c r="Y35" s="191"/>
      <c r="Z35" s="191"/>
      <c r="AC35" s="268" t="s">
        <v>254</v>
      </c>
      <c r="AD35" s="269">
        <v>574474</v>
      </c>
      <c r="AE35" s="270" t="s">
        <v>255</v>
      </c>
      <c r="AF35" s="270" t="s">
        <v>255</v>
      </c>
      <c r="AG35" s="270" t="s">
        <v>255</v>
      </c>
      <c r="AH35" s="271"/>
      <c r="AK35" s="272"/>
    </row>
    <row r="36" spans="1:42" s="240" customFormat="1" ht="13" customHeight="1" x14ac:dyDescent="0.25">
      <c r="A36" s="258"/>
      <c r="B36" s="258" t="s">
        <v>256</v>
      </c>
      <c r="C36" s="191"/>
      <c r="D36" s="191"/>
      <c r="E36" s="191"/>
      <c r="F36" s="191"/>
      <c r="G36" s="191"/>
      <c r="H36" s="191"/>
      <c r="I36" s="191"/>
      <c r="J36" s="191"/>
      <c r="K36" s="191"/>
      <c r="L36" s="191"/>
      <c r="M36" s="191"/>
      <c r="N36" s="262"/>
      <c r="O36" s="260"/>
      <c r="P36" s="263"/>
      <c r="Q36" s="264"/>
      <c r="R36" s="232" t="s">
        <v>224</v>
      </c>
      <c r="S36" s="232" t="s">
        <v>224</v>
      </c>
      <c r="W36" s="191"/>
      <c r="X36" s="191"/>
      <c r="Y36" s="191"/>
      <c r="Z36" s="191"/>
      <c r="AC36" s="268" t="s">
        <v>257</v>
      </c>
      <c r="AD36" s="273">
        <v>0.62850165485953546</v>
      </c>
      <c r="AE36" s="270" t="s">
        <v>258</v>
      </c>
      <c r="AF36" s="270" t="s">
        <v>259</v>
      </c>
      <c r="AG36" s="270" t="s">
        <v>260</v>
      </c>
    </row>
    <row r="37" spans="1:42" s="240" customFormat="1" ht="13" customHeight="1" x14ac:dyDescent="0.25">
      <c r="A37" s="258"/>
      <c r="B37" s="258" t="s">
        <v>261</v>
      </c>
      <c r="C37" s="191"/>
      <c r="D37" s="191"/>
      <c r="E37" s="191"/>
      <c r="F37" s="191"/>
      <c r="G37" s="191"/>
      <c r="H37" s="191"/>
      <c r="I37" s="191"/>
      <c r="J37" s="191"/>
      <c r="K37" s="191"/>
      <c r="L37" s="191"/>
      <c r="M37" s="191"/>
      <c r="N37" s="262"/>
      <c r="O37" s="260"/>
      <c r="P37" s="263"/>
      <c r="Q37" s="264"/>
      <c r="R37" s="232" t="s">
        <v>224</v>
      </c>
      <c r="S37" s="232" t="s">
        <v>224</v>
      </c>
      <c r="W37" s="191"/>
      <c r="X37" s="191"/>
      <c r="Y37" s="191"/>
      <c r="Z37" s="191"/>
      <c r="AC37" s="268" t="s">
        <v>262</v>
      </c>
      <c r="AD37" s="273">
        <v>0.41091886323006682</v>
      </c>
      <c r="AE37" s="270" t="s">
        <v>263</v>
      </c>
      <c r="AF37" s="270" t="s">
        <v>259</v>
      </c>
      <c r="AG37" s="270" t="s">
        <v>260</v>
      </c>
    </row>
    <row r="38" spans="1:42" s="238" customFormat="1" ht="13" customHeight="1" x14ac:dyDescent="0.3">
      <c r="A38" s="222"/>
      <c r="B38" s="258"/>
      <c r="C38" s="191"/>
      <c r="D38" s="191"/>
      <c r="E38" s="191"/>
      <c r="F38" s="191"/>
      <c r="G38" s="191"/>
      <c r="H38" s="191"/>
      <c r="I38" s="191"/>
      <c r="J38" s="191"/>
      <c r="K38" s="191"/>
      <c r="L38" s="191"/>
      <c r="M38" s="191"/>
      <c r="N38" s="262"/>
      <c r="O38" s="260"/>
      <c r="P38" s="263"/>
      <c r="Q38" s="264"/>
      <c r="R38" s="232" t="s">
        <v>224</v>
      </c>
      <c r="S38" s="232" t="s">
        <v>224</v>
      </c>
      <c r="T38" s="199"/>
      <c r="U38" s="234"/>
      <c r="V38" s="243"/>
      <c r="W38" s="191"/>
      <c r="X38" s="191"/>
      <c r="Y38" s="191"/>
      <c r="Z38" s="191"/>
      <c r="AA38" s="237"/>
      <c r="AC38" s="268" t="s">
        <v>264</v>
      </c>
      <c r="AD38" s="269">
        <v>1279.5481227610337</v>
      </c>
      <c r="AE38" s="270" t="s">
        <v>265</v>
      </c>
      <c r="AF38" s="270" t="s">
        <v>259</v>
      </c>
      <c r="AG38" s="270" t="s">
        <v>260</v>
      </c>
      <c r="AI38" s="240"/>
      <c r="AJ38" s="240"/>
      <c r="AK38" s="240"/>
      <c r="AL38" s="240"/>
      <c r="AM38" s="240"/>
      <c r="AN38" s="240"/>
      <c r="AO38" s="240"/>
      <c r="AP38" s="240"/>
    </row>
    <row r="39" spans="1:42" s="238" customFormat="1" ht="13" customHeight="1" x14ac:dyDescent="0.3">
      <c r="A39" s="222"/>
      <c r="B39" s="258"/>
      <c r="C39" s="191"/>
      <c r="D39" s="191"/>
      <c r="E39" s="191"/>
      <c r="F39" s="191"/>
      <c r="G39" s="191"/>
      <c r="H39" s="191"/>
      <c r="I39" s="191"/>
      <c r="J39" s="191"/>
      <c r="K39" s="191"/>
      <c r="L39" s="191"/>
      <c r="M39" s="191"/>
      <c r="N39" s="262"/>
      <c r="O39" s="260"/>
      <c r="P39" s="263"/>
      <c r="Q39" s="264"/>
      <c r="R39" s="232" t="s">
        <v>224</v>
      </c>
      <c r="S39" s="232" t="s">
        <v>224</v>
      </c>
      <c r="T39" s="199"/>
      <c r="U39" s="234"/>
      <c r="V39" s="243"/>
      <c r="W39" s="191"/>
      <c r="X39" s="191"/>
      <c r="Y39" s="191"/>
      <c r="Z39" s="191"/>
      <c r="AA39" s="237"/>
      <c r="AC39" s="268" t="s">
        <v>266</v>
      </c>
      <c r="AD39" s="269">
        <v>27190.931320064959</v>
      </c>
      <c r="AE39" s="270" t="s">
        <v>267</v>
      </c>
      <c r="AF39" s="270" t="s">
        <v>259</v>
      </c>
      <c r="AG39" s="270" t="s">
        <v>268</v>
      </c>
      <c r="AI39" s="240"/>
      <c r="AJ39" s="240"/>
      <c r="AK39" s="240"/>
      <c r="AL39" s="240"/>
      <c r="AM39" s="240"/>
      <c r="AN39" s="240"/>
      <c r="AO39" s="240"/>
      <c r="AP39" s="240"/>
    </row>
    <row r="40" spans="1:42" s="238" customFormat="1" ht="13" customHeight="1" x14ac:dyDescent="0.3">
      <c r="A40" s="222"/>
      <c r="B40" s="258"/>
      <c r="C40" s="191"/>
      <c r="E40" s="191"/>
      <c r="F40" s="191"/>
      <c r="G40" s="191"/>
      <c r="H40" s="191"/>
      <c r="I40" s="191"/>
      <c r="J40" s="191"/>
      <c r="K40" s="191"/>
      <c r="L40" s="191"/>
      <c r="M40" s="191"/>
      <c r="N40" s="262"/>
      <c r="O40" s="260"/>
      <c r="P40" s="263"/>
      <c r="Q40" s="264"/>
      <c r="R40" s="232" t="s">
        <v>224</v>
      </c>
      <c r="S40" s="232" t="s">
        <v>224</v>
      </c>
      <c r="T40" s="199"/>
      <c r="U40" s="234"/>
      <c r="V40" s="243"/>
      <c r="W40" s="191"/>
      <c r="X40" s="191"/>
      <c r="Y40" s="191"/>
      <c r="Z40" s="191"/>
      <c r="AA40" s="237"/>
      <c r="AC40" s="268" t="s">
        <v>269</v>
      </c>
      <c r="AD40" s="273">
        <v>0.90909090909090906</v>
      </c>
      <c r="AE40" s="270" t="s">
        <v>258</v>
      </c>
      <c r="AF40" s="270" t="s">
        <v>259</v>
      </c>
      <c r="AG40" s="270" t="s">
        <v>260</v>
      </c>
      <c r="AI40" s="240"/>
      <c r="AJ40" s="240"/>
      <c r="AK40" s="240"/>
      <c r="AL40" s="240"/>
      <c r="AM40" s="240"/>
      <c r="AN40" s="240"/>
      <c r="AO40" s="240"/>
      <c r="AP40" s="240"/>
    </row>
    <row r="41" spans="1:42" s="238" customFormat="1" ht="13" customHeight="1" x14ac:dyDescent="0.3">
      <c r="A41" s="222"/>
      <c r="B41" s="258"/>
      <c r="C41" s="191"/>
      <c r="E41" s="191"/>
      <c r="F41" s="191"/>
      <c r="G41" s="191"/>
      <c r="H41" s="191"/>
      <c r="I41" s="191"/>
      <c r="J41" s="191"/>
      <c r="K41" s="191"/>
      <c r="L41" s="191"/>
      <c r="M41" s="191"/>
      <c r="N41" s="262"/>
      <c r="O41" s="260"/>
      <c r="P41" s="263"/>
      <c r="Q41" s="264"/>
      <c r="R41" s="232" t="s">
        <v>224</v>
      </c>
      <c r="S41" s="232" t="s">
        <v>224</v>
      </c>
      <c r="T41" s="199"/>
      <c r="U41" s="234"/>
      <c r="V41" s="243"/>
      <c r="W41" s="191"/>
      <c r="X41" s="191"/>
      <c r="Y41" s="191"/>
      <c r="Z41" s="191"/>
      <c r="AA41" s="237"/>
      <c r="AC41" s="268" t="s">
        <v>270</v>
      </c>
      <c r="AD41" s="274">
        <v>6.4978201825939804E-3</v>
      </c>
      <c r="AE41" s="270" t="s">
        <v>271</v>
      </c>
      <c r="AF41" s="270" t="s">
        <v>259</v>
      </c>
      <c r="AG41" s="270" t="s">
        <v>260</v>
      </c>
      <c r="AI41" s="240"/>
      <c r="AJ41" s="240"/>
      <c r="AK41" s="240"/>
      <c r="AL41" s="240"/>
      <c r="AM41" s="240"/>
      <c r="AN41" s="240"/>
      <c r="AO41" s="240"/>
      <c r="AP41" s="240"/>
    </row>
    <row r="42" spans="1:42" s="238" customFormat="1" ht="9" customHeight="1" x14ac:dyDescent="0.3">
      <c r="A42" s="222"/>
      <c r="B42" s="258"/>
      <c r="C42" s="191"/>
      <c r="E42" s="191"/>
      <c r="F42" s="191"/>
      <c r="G42" s="191"/>
      <c r="H42" s="191"/>
      <c r="I42" s="191"/>
      <c r="J42" s="191"/>
      <c r="K42" s="191"/>
      <c r="L42" s="191"/>
      <c r="M42" s="191"/>
      <c r="N42" s="262"/>
      <c r="O42" s="260"/>
      <c r="P42" s="263"/>
      <c r="Q42" s="264"/>
      <c r="R42" s="232" t="s">
        <v>224</v>
      </c>
      <c r="S42" s="232">
        <v>0.3</v>
      </c>
      <c r="T42" s="199"/>
      <c r="U42" s="234"/>
      <c r="V42" s="259"/>
      <c r="W42" s="191"/>
      <c r="X42" s="191"/>
      <c r="Y42" s="191"/>
      <c r="Z42" s="191"/>
      <c r="AA42" s="237"/>
      <c r="AE42" s="239"/>
      <c r="AF42" s="239"/>
      <c r="AG42" s="239"/>
      <c r="AI42" s="240"/>
      <c r="AJ42" s="240"/>
      <c r="AK42" s="240"/>
      <c r="AL42" s="240"/>
      <c r="AM42" s="240"/>
      <c r="AN42" s="240"/>
      <c r="AO42" s="240"/>
      <c r="AP42" s="240"/>
    </row>
    <row r="43" spans="1:42" s="238" customFormat="1" ht="9" customHeight="1" x14ac:dyDescent="0.3">
      <c r="A43" s="222"/>
      <c r="B43" s="258"/>
      <c r="C43" s="191"/>
      <c r="E43" s="191"/>
      <c r="F43" s="191"/>
      <c r="G43" s="191"/>
      <c r="H43" s="191"/>
      <c r="I43" s="191"/>
      <c r="J43" s="191"/>
      <c r="K43" s="191"/>
      <c r="L43" s="191"/>
      <c r="M43" s="191"/>
      <c r="N43" s="262"/>
      <c r="O43" s="260"/>
      <c r="P43" s="263"/>
      <c r="Q43" s="264"/>
      <c r="R43" s="232" t="s">
        <v>224</v>
      </c>
      <c r="S43" s="232" t="s">
        <v>224</v>
      </c>
      <c r="T43" s="199"/>
      <c r="U43" s="234"/>
      <c r="V43" s="243"/>
      <c r="W43" s="191"/>
      <c r="X43" s="191"/>
      <c r="Y43" s="191"/>
      <c r="Z43" s="191"/>
      <c r="AA43" s="237"/>
      <c r="AC43" s="275"/>
      <c r="AD43" s="276"/>
      <c r="AE43" s="277"/>
      <c r="AF43" s="277"/>
      <c r="AG43" s="277"/>
      <c r="AI43" s="240"/>
      <c r="AJ43" s="240"/>
      <c r="AK43" s="240"/>
      <c r="AL43" s="240"/>
      <c r="AM43" s="240"/>
      <c r="AN43" s="240"/>
      <c r="AO43" s="240"/>
      <c r="AP43" s="240"/>
    </row>
    <row r="44" spans="1:42" s="238" customFormat="1" ht="9" customHeight="1" x14ac:dyDescent="0.3">
      <c r="A44" s="222"/>
      <c r="B44" s="258"/>
      <c r="C44" s="191"/>
      <c r="E44" s="191"/>
      <c r="F44" s="191"/>
      <c r="G44" s="191"/>
      <c r="H44" s="191"/>
      <c r="I44" s="191"/>
      <c r="J44" s="191"/>
      <c r="K44" s="191"/>
      <c r="L44" s="191"/>
      <c r="M44" s="191"/>
      <c r="N44" s="262"/>
      <c r="O44" s="260"/>
      <c r="P44" s="263"/>
      <c r="Q44" s="264"/>
      <c r="R44" s="232" t="s">
        <v>224</v>
      </c>
      <c r="S44" s="232" t="s">
        <v>224</v>
      </c>
      <c r="T44" s="199"/>
      <c r="U44" s="234"/>
      <c r="V44" s="243"/>
      <c r="W44" s="191"/>
      <c r="X44" s="191"/>
      <c r="Y44" s="191"/>
      <c r="Z44" s="191"/>
      <c r="AA44" s="237"/>
      <c r="AC44" s="278"/>
      <c r="AD44" s="279"/>
      <c r="AE44" s="280"/>
      <c r="AF44" s="280"/>
      <c r="AG44" s="280"/>
      <c r="AI44" s="240"/>
      <c r="AJ44" s="240"/>
      <c r="AK44" s="240"/>
      <c r="AL44" s="240"/>
      <c r="AM44" s="240"/>
      <c r="AN44" s="240"/>
      <c r="AO44" s="240"/>
      <c r="AP44" s="240"/>
    </row>
    <row r="45" spans="1:42" s="238" customFormat="1" ht="12" customHeight="1" x14ac:dyDescent="0.3">
      <c r="A45" s="222"/>
      <c r="B45" s="258"/>
      <c r="C45" s="191"/>
      <c r="E45" s="245"/>
      <c r="F45" s="260"/>
      <c r="G45" s="191"/>
      <c r="H45" s="191"/>
      <c r="I45" s="191"/>
      <c r="J45" s="191"/>
      <c r="K45" s="191"/>
      <c r="L45" s="191"/>
      <c r="M45" s="191"/>
      <c r="N45" s="262"/>
      <c r="O45" s="260"/>
      <c r="P45" s="263"/>
      <c r="Q45" s="264"/>
      <c r="R45" s="232" t="s">
        <v>224</v>
      </c>
      <c r="S45" s="232" t="s">
        <v>224</v>
      </c>
      <c r="T45" s="199"/>
      <c r="U45" s="234"/>
      <c r="V45" s="243"/>
      <c r="W45" s="191"/>
      <c r="X45" s="191"/>
      <c r="Y45" s="191"/>
      <c r="Z45" s="191"/>
      <c r="AA45" s="237"/>
      <c r="AC45" s="278"/>
      <c r="AD45" s="279"/>
      <c r="AE45" s="280"/>
      <c r="AF45" s="280"/>
      <c r="AG45" s="280"/>
      <c r="AI45" s="329" t="s">
        <v>272</v>
      </c>
      <c r="AJ45" s="327" t="s">
        <v>273</v>
      </c>
      <c r="AK45" s="327" t="s">
        <v>274</v>
      </c>
      <c r="AL45" s="327" t="s">
        <v>275</v>
      </c>
      <c r="AM45" s="327" t="s">
        <v>276</v>
      </c>
      <c r="AN45" s="327" t="s">
        <v>277</v>
      </c>
      <c r="AO45" s="240"/>
      <c r="AP45" s="240"/>
    </row>
    <row r="46" spans="1:42" s="238" customFormat="1" ht="12" customHeight="1" x14ac:dyDescent="0.3">
      <c r="A46" s="222"/>
      <c r="B46" s="258"/>
      <c r="C46" s="191"/>
      <c r="E46" s="245"/>
      <c r="F46" s="260"/>
      <c r="G46" s="191"/>
      <c r="H46" s="191"/>
      <c r="I46" s="191"/>
      <c r="J46" s="191"/>
      <c r="K46" s="191"/>
      <c r="L46" s="191"/>
      <c r="M46" s="191"/>
      <c r="N46" s="262"/>
      <c r="O46" s="260"/>
      <c r="P46" s="263"/>
      <c r="Q46" s="264"/>
      <c r="R46" s="232" t="s">
        <v>224</v>
      </c>
      <c r="S46" s="232" t="s">
        <v>224</v>
      </c>
      <c r="T46" s="199"/>
      <c r="U46" s="234"/>
      <c r="V46" s="243"/>
      <c r="W46" s="191"/>
      <c r="X46" s="191"/>
      <c r="Y46" s="191"/>
      <c r="Z46" s="191"/>
      <c r="AA46" s="237"/>
      <c r="AC46" s="278"/>
      <c r="AD46" s="279"/>
      <c r="AE46" s="280"/>
      <c r="AF46" s="280"/>
      <c r="AG46" s="280"/>
      <c r="AI46" s="329"/>
      <c r="AJ46" s="327"/>
      <c r="AK46" s="327"/>
      <c r="AL46" s="327"/>
      <c r="AM46" s="327"/>
      <c r="AN46" s="327"/>
      <c r="AO46" s="240"/>
      <c r="AP46" s="240"/>
    </row>
    <row r="47" spans="1:42" s="238" customFormat="1" ht="12" customHeight="1" x14ac:dyDescent="0.3">
      <c r="A47" s="222"/>
      <c r="B47" s="258"/>
      <c r="C47" s="191"/>
      <c r="E47" s="245"/>
      <c r="F47" s="260"/>
      <c r="G47" s="191"/>
      <c r="H47" s="191"/>
      <c r="I47" s="191"/>
      <c r="J47" s="191"/>
      <c r="K47" s="191"/>
      <c r="L47" s="191"/>
      <c r="M47" s="191"/>
      <c r="N47" s="262"/>
      <c r="O47" s="260"/>
      <c r="P47" s="263"/>
      <c r="Q47" s="264"/>
      <c r="R47" s="232" t="s">
        <v>224</v>
      </c>
      <c r="S47" s="232" t="s">
        <v>224</v>
      </c>
      <c r="T47" s="199"/>
      <c r="U47" s="234"/>
      <c r="V47" s="243"/>
      <c r="W47" s="191"/>
      <c r="X47" s="191"/>
      <c r="Y47" s="191"/>
      <c r="Z47" s="191"/>
      <c r="AA47" s="237"/>
      <c r="AC47" s="278"/>
      <c r="AD47" s="279"/>
      <c r="AE47" s="280"/>
      <c r="AF47" s="280"/>
      <c r="AG47" s="280"/>
      <c r="AI47" s="330"/>
      <c r="AJ47" s="328"/>
      <c r="AK47" s="328"/>
      <c r="AL47" s="328"/>
      <c r="AM47" s="328"/>
      <c r="AN47" s="328"/>
      <c r="AO47" s="240"/>
      <c r="AP47" s="240"/>
    </row>
    <row r="48" spans="1:42" s="238" customFormat="1" ht="18.5" customHeight="1" x14ac:dyDescent="0.3">
      <c r="A48" s="222"/>
      <c r="B48" s="258"/>
      <c r="C48" s="191"/>
      <c r="E48" s="245"/>
      <c r="F48" s="260"/>
      <c r="G48" s="191"/>
      <c r="H48" s="191"/>
      <c r="I48" s="191"/>
      <c r="J48" s="191"/>
      <c r="K48" s="191"/>
      <c r="L48" s="191"/>
      <c r="M48" s="191"/>
      <c r="N48" s="262"/>
      <c r="O48" s="260"/>
      <c r="P48" s="263"/>
      <c r="Q48" s="264"/>
      <c r="R48" s="232" t="s">
        <v>224</v>
      </c>
      <c r="S48" s="232" t="s">
        <v>224</v>
      </c>
      <c r="T48" s="199"/>
      <c r="U48" s="234"/>
      <c r="V48" s="243"/>
      <c r="W48" s="191"/>
      <c r="X48" s="191"/>
      <c r="Y48" s="191"/>
      <c r="Z48" s="191"/>
      <c r="AA48" s="237"/>
      <c r="AC48" s="278"/>
      <c r="AD48" s="279"/>
      <c r="AE48" s="280"/>
      <c r="AF48" s="280"/>
      <c r="AG48" s="280"/>
      <c r="AI48" s="281" t="s">
        <v>33</v>
      </c>
      <c r="AJ48" s="282">
        <v>9047250</v>
      </c>
      <c r="AK48" s="283">
        <v>8832</v>
      </c>
      <c r="AL48" s="284">
        <v>0.71799999999999997</v>
      </c>
      <c r="AM48" s="285">
        <v>38.6</v>
      </c>
      <c r="AN48" s="285">
        <v>41.6</v>
      </c>
      <c r="AO48" s="240"/>
      <c r="AP48" s="240"/>
    </row>
    <row r="49" spans="2:47" ht="18.5" customHeight="1" x14ac:dyDescent="0.3">
      <c r="B49" s="286"/>
      <c r="E49" s="245"/>
      <c r="F49" s="260"/>
      <c r="K49" s="191"/>
      <c r="L49" s="191"/>
      <c r="M49" s="191"/>
      <c r="N49" s="262"/>
      <c r="O49" s="260"/>
      <c r="P49" s="263"/>
      <c r="Q49" s="264"/>
      <c r="R49" s="232"/>
      <c r="S49" s="232"/>
      <c r="T49" s="199"/>
      <c r="U49" s="287"/>
      <c r="AI49" s="281" t="s">
        <v>29</v>
      </c>
      <c r="AJ49" s="282">
        <v>4546765</v>
      </c>
      <c r="AK49" s="283">
        <v>15184</v>
      </c>
      <c r="AL49" s="284">
        <v>0.76700000000000002</v>
      </c>
      <c r="AM49" s="285">
        <v>28</v>
      </c>
      <c r="AN49" s="285">
        <v>51.3</v>
      </c>
    </row>
    <row r="50" spans="2:47" ht="18.5" customHeight="1" x14ac:dyDescent="0.25">
      <c r="B50" s="286"/>
      <c r="E50" s="245"/>
      <c r="F50" s="260"/>
      <c r="K50" s="191"/>
      <c r="L50" s="191"/>
      <c r="M50" s="191"/>
      <c r="N50" s="262"/>
      <c r="O50" s="260"/>
      <c r="P50" s="263"/>
      <c r="Q50" s="264"/>
      <c r="R50" s="232"/>
      <c r="S50" s="232"/>
      <c r="AI50" s="281" t="s">
        <v>30</v>
      </c>
      <c r="AJ50" s="282">
        <v>6965456</v>
      </c>
      <c r="AK50" s="283">
        <v>11331</v>
      </c>
      <c r="AL50" s="284">
        <v>0.75900000000000001</v>
      </c>
      <c r="AM50" s="285">
        <v>21.5</v>
      </c>
      <c r="AN50" s="285">
        <v>45.7</v>
      </c>
    </row>
    <row r="51" spans="2:47" ht="18.5" customHeight="1" x14ac:dyDescent="0.25">
      <c r="B51" s="286"/>
      <c r="K51" s="191"/>
      <c r="L51" s="191"/>
      <c r="M51" s="191"/>
      <c r="N51" s="262"/>
      <c r="O51" s="260"/>
      <c r="P51" s="263"/>
      <c r="Q51" s="264"/>
      <c r="R51" s="232"/>
      <c r="S51" s="232"/>
      <c r="AI51" s="281" t="s">
        <v>34</v>
      </c>
      <c r="AJ51" s="282">
        <v>765326</v>
      </c>
      <c r="AK51" s="283">
        <v>8891</v>
      </c>
      <c r="AL51" s="284">
        <v>0.67300000000000004</v>
      </c>
      <c r="AM51" s="285">
        <v>32.700000000000003</v>
      </c>
      <c r="AN51" s="285">
        <v>38.799999999999997</v>
      </c>
    </row>
    <row r="52" spans="2:47" ht="18.5" customHeight="1" x14ac:dyDescent="0.25">
      <c r="B52" s="286"/>
      <c r="K52" s="191"/>
      <c r="L52" s="191"/>
      <c r="M52" s="191"/>
      <c r="R52" s="288"/>
      <c r="S52" s="288"/>
      <c r="AI52" s="281" t="s">
        <v>27</v>
      </c>
      <c r="AJ52" s="282">
        <v>3309890</v>
      </c>
      <c r="AK52" s="283">
        <v>5698</v>
      </c>
      <c r="AL52" s="284">
        <v>0.63400000000000001</v>
      </c>
      <c r="AM52" s="285">
        <v>29.6</v>
      </c>
      <c r="AN52" s="285">
        <v>48.2</v>
      </c>
    </row>
    <row r="53" spans="2:47" ht="18.5" customHeight="1" x14ac:dyDescent="0.25">
      <c r="B53" s="286"/>
      <c r="C53" s="289"/>
      <c r="J53" s="192"/>
      <c r="K53" s="191"/>
      <c r="L53" s="191"/>
      <c r="M53" s="191"/>
      <c r="R53" s="288"/>
      <c r="S53" s="288"/>
      <c r="AI53" s="281" t="s">
        <v>63</v>
      </c>
      <c r="AJ53" s="282">
        <v>1973882</v>
      </c>
      <c r="AK53" s="283">
        <v>20266</v>
      </c>
      <c r="AL53" s="284">
        <v>0.77900000000000003</v>
      </c>
      <c r="AM53" s="285">
        <v>46.2</v>
      </c>
      <c r="AN53" s="285">
        <v>45.4</v>
      </c>
    </row>
    <row r="54" spans="2:47" ht="18.5" customHeight="1" x14ac:dyDescent="0.25">
      <c r="B54" s="286"/>
      <c r="C54" s="289"/>
      <c r="J54" s="192"/>
      <c r="K54" s="191"/>
      <c r="L54" s="191"/>
      <c r="M54" s="191"/>
      <c r="AI54" s="281" t="s">
        <v>197</v>
      </c>
      <c r="AJ54" s="282">
        <v>977467</v>
      </c>
      <c r="AK54" s="283">
        <v>12985</v>
      </c>
      <c r="AL54" s="284">
        <v>0.77700000000000002</v>
      </c>
      <c r="AM54" s="285">
        <v>22.7</v>
      </c>
      <c r="AN54" s="285">
        <v>41.5</v>
      </c>
    </row>
    <row r="55" spans="2:47" ht="9" customHeight="1" x14ac:dyDescent="0.25">
      <c r="B55" s="286"/>
      <c r="C55" s="290"/>
      <c r="J55" s="192"/>
      <c r="K55" s="191"/>
      <c r="L55" s="191"/>
      <c r="M55" s="191"/>
      <c r="AJ55" s="291">
        <f>+SUM(AJ48:AJ54)</f>
        <v>27586036</v>
      </c>
    </row>
    <row r="56" spans="2:47" ht="9" customHeight="1" x14ac:dyDescent="0.25">
      <c r="B56" s="286"/>
      <c r="C56" s="290"/>
      <c r="L56" s="191"/>
      <c r="M56" s="191"/>
    </row>
    <row r="57" spans="2:47" ht="9" customHeight="1" x14ac:dyDescent="0.25">
      <c r="B57" s="286"/>
      <c r="C57" s="289"/>
    </row>
    <row r="58" spans="2:47" ht="12.25" customHeight="1" x14ac:dyDescent="0.25">
      <c r="B58" s="290"/>
      <c r="C58" s="289"/>
      <c r="AJ58" s="263"/>
    </row>
    <row r="59" spans="2:47" ht="12.25" customHeight="1" x14ac:dyDescent="0.25">
      <c r="C59" s="289"/>
    </row>
    <row r="60" spans="2:47" ht="12.25" customHeight="1" x14ac:dyDescent="0.25"/>
    <row r="61" spans="2:47" ht="12.25" customHeight="1" x14ac:dyDescent="0.25"/>
    <row r="63" spans="2:47" x14ac:dyDescent="0.25">
      <c r="K63" s="191"/>
      <c r="L63" s="191"/>
      <c r="M63" s="191"/>
    </row>
    <row r="64" spans="2:47" ht="24" customHeight="1" x14ac:dyDescent="0.25">
      <c r="K64" s="191"/>
      <c r="L64" s="191"/>
      <c r="M64" s="191"/>
      <c r="AP64" s="292"/>
      <c r="AQ64" s="293" t="s">
        <v>278</v>
      </c>
      <c r="AR64" s="293" t="str">
        <f>+AK45</f>
        <v>GDP USD (e)</v>
      </c>
      <c r="AS64" s="293" t="str">
        <f>+AL45</f>
        <v>HDI (f)</v>
      </c>
      <c r="AT64" s="293" t="str">
        <f>+AM45</f>
        <v>% NPL (g)</v>
      </c>
      <c r="AU64" s="293" t="str">
        <f>+AN45</f>
        <v>Gini Coefficient (h)</v>
      </c>
    </row>
    <row r="65" spans="6:47" ht="18" customHeight="1" x14ac:dyDescent="0.25">
      <c r="K65" s="191"/>
      <c r="L65" s="191"/>
      <c r="M65" s="191"/>
      <c r="AP65" s="281">
        <v>1</v>
      </c>
      <c r="AQ65" s="281" t="s">
        <v>279</v>
      </c>
      <c r="AR65" s="283">
        <v>22033.945309320345</v>
      </c>
      <c r="AS65" s="294">
        <v>0.83</v>
      </c>
      <c r="AT65" s="285">
        <v>25.7</v>
      </c>
      <c r="AU65" s="295">
        <v>41.4</v>
      </c>
    </row>
    <row r="66" spans="6:47" ht="18" customHeight="1" x14ac:dyDescent="0.25">
      <c r="K66" s="191"/>
      <c r="L66" s="191"/>
      <c r="M66" s="191"/>
      <c r="AP66" s="281">
        <v>2</v>
      </c>
      <c r="AQ66" s="281" t="s">
        <v>280</v>
      </c>
      <c r="AR66" s="283">
        <v>15638.829897398775</v>
      </c>
      <c r="AS66" s="294">
        <v>0.81299999999999994</v>
      </c>
      <c r="AT66" s="285">
        <v>31.5</v>
      </c>
      <c r="AU66" s="295" t="s">
        <v>227</v>
      </c>
    </row>
    <row r="67" spans="6:47" ht="18" customHeight="1" x14ac:dyDescent="0.25">
      <c r="K67" s="191"/>
      <c r="L67" s="191"/>
      <c r="M67" s="191"/>
      <c r="R67" s="264"/>
      <c r="S67" s="264"/>
      <c r="T67" s="264"/>
      <c r="U67" s="264"/>
      <c r="V67" s="264"/>
      <c r="AP67" s="281">
        <v>3</v>
      </c>
      <c r="AQ67" s="281" t="s">
        <v>281</v>
      </c>
      <c r="AR67" s="283">
        <v>7004.9123012291548</v>
      </c>
      <c r="AS67" s="294">
        <v>0.72</v>
      </c>
      <c r="AT67" s="285">
        <v>41</v>
      </c>
      <c r="AU67" s="295" t="s">
        <v>227</v>
      </c>
    </row>
    <row r="68" spans="6:47" ht="18" customHeight="1" x14ac:dyDescent="0.25">
      <c r="K68" s="191"/>
      <c r="L68" s="191"/>
      <c r="M68" s="191"/>
      <c r="R68" s="264"/>
      <c r="S68" s="264"/>
      <c r="T68" s="264"/>
      <c r="U68" s="264"/>
      <c r="V68" s="264"/>
      <c r="AA68" s="296"/>
      <c r="AP68" s="281">
        <v>4</v>
      </c>
      <c r="AQ68" s="281" t="s">
        <v>282</v>
      </c>
      <c r="AR68" s="283">
        <v>14651.61618093461</v>
      </c>
      <c r="AS68" s="294">
        <v>0.76100000000000001</v>
      </c>
      <c r="AT68" s="285">
        <v>4.2</v>
      </c>
      <c r="AU68" s="295">
        <v>53.9</v>
      </c>
    </row>
    <row r="69" spans="6:47" ht="18" customHeight="1" x14ac:dyDescent="0.25">
      <c r="K69" s="191"/>
      <c r="L69" s="191"/>
      <c r="M69" s="191"/>
      <c r="R69" s="264"/>
      <c r="S69" s="264"/>
      <c r="T69" s="264"/>
      <c r="U69" s="264"/>
      <c r="V69" s="264"/>
      <c r="AA69" s="296"/>
      <c r="AP69" s="281">
        <v>5</v>
      </c>
      <c r="AQ69" s="281" t="s">
        <v>283</v>
      </c>
      <c r="AR69" s="283">
        <v>19642.417853166826</v>
      </c>
      <c r="AS69" s="294">
        <v>0.79400000000000004</v>
      </c>
      <c r="AT69" s="285">
        <v>21.7</v>
      </c>
      <c r="AU69" s="295">
        <v>48</v>
      </c>
    </row>
    <row r="70" spans="6:47" ht="18" customHeight="1" x14ac:dyDescent="0.25">
      <c r="K70" s="191"/>
      <c r="L70" s="191"/>
      <c r="M70" s="191"/>
      <c r="R70" s="264"/>
      <c r="S70" s="264"/>
      <c r="T70" s="264"/>
      <c r="U70" s="264"/>
      <c r="V70" s="264"/>
      <c r="AA70" s="296"/>
      <c r="AP70" s="281">
        <v>6</v>
      </c>
      <c r="AQ70" s="281" t="s">
        <v>284</v>
      </c>
      <c r="AR70" s="283">
        <v>24226.150887899796</v>
      </c>
      <c r="AS70" s="294">
        <v>0.84699999999999998</v>
      </c>
      <c r="AT70" s="285">
        <v>14.4</v>
      </c>
      <c r="AU70" s="295">
        <v>44.4</v>
      </c>
    </row>
    <row r="71" spans="6:47" ht="18" customHeight="1" x14ac:dyDescent="0.25">
      <c r="K71" s="191"/>
      <c r="L71" s="191"/>
      <c r="M71" s="191"/>
      <c r="R71" s="264"/>
      <c r="S71" s="264"/>
      <c r="T71" s="264"/>
      <c r="U71" s="264"/>
      <c r="V71" s="264"/>
      <c r="AA71" s="296"/>
      <c r="AP71" s="281">
        <v>7</v>
      </c>
      <c r="AQ71" s="281" t="s">
        <v>285</v>
      </c>
      <c r="AR71" s="283">
        <v>18419.034263015157</v>
      </c>
      <c r="AS71" s="294">
        <v>0.745</v>
      </c>
      <c r="AT71" s="285">
        <v>30.5</v>
      </c>
      <c r="AU71" s="295">
        <v>43.7</v>
      </c>
    </row>
    <row r="72" spans="6:47" ht="18" customHeight="1" x14ac:dyDescent="0.25">
      <c r="K72" s="191"/>
      <c r="L72" s="191"/>
      <c r="M72" s="191"/>
      <c r="R72" s="264"/>
      <c r="S72" s="264"/>
      <c r="T72" s="264"/>
      <c r="U72" s="264"/>
      <c r="V72" s="264"/>
      <c r="AA72" s="296"/>
      <c r="AP72" s="281">
        <v>8</v>
      </c>
      <c r="AQ72" s="281" t="s">
        <v>185</v>
      </c>
      <c r="AR72" s="283">
        <v>8637.5553249751792</v>
      </c>
      <c r="AS72" s="294">
        <v>0.65100000000000002</v>
      </c>
      <c r="AT72" s="285">
        <v>59.3</v>
      </c>
      <c r="AU72" s="295">
        <v>48.3</v>
      </c>
    </row>
    <row r="73" spans="6:47" ht="18" customHeight="1" x14ac:dyDescent="0.25">
      <c r="K73" s="191"/>
      <c r="L73" s="191"/>
      <c r="M73" s="191"/>
      <c r="R73" s="264"/>
      <c r="S73" s="264"/>
      <c r="T73" s="264"/>
      <c r="U73" s="264"/>
      <c r="V73" s="264"/>
      <c r="AA73" s="296"/>
      <c r="AP73" s="281">
        <v>9</v>
      </c>
      <c r="AQ73" s="281" t="s">
        <v>286</v>
      </c>
      <c r="AR73" s="283">
        <v>1728.9100699872324</v>
      </c>
      <c r="AS73" s="294">
        <v>0.503</v>
      </c>
      <c r="AT73" s="285">
        <v>58.5</v>
      </c>
      <c r="AU73" s="295">
        <v>41.1</v>
      </c>
    </row>
    <row r="74" spans="6:47" ht="18" customHeight="1" x14ac:dyDescent="0.25">
      <c r="K74" s="191"/>
      <c r="L74" s="191"/>
      <c r="M74" s="191"/>
      <c r="R74" s="264"/>
      <c r="S74" s="264"/>
      <c r="T74" s="264"/>
      <c r="U74" s="264"/>
      <c r="V74" s="264"/>
      <c r="AA74" s="296"/>
      <c r="AP74" s="281">
        <v>10</v>
      </c>
      <c r="AQ74" s="281" t="s">
        <v>287</v>
      </c>
      <c r="AR74" s="283">
        <v>9761.4985221052757</v>
      </c>
      <c r="AS74" s="294">
        <v>0.72599999999999998</v>
      </c>
      <c r="AT74" s="285">
        <v>17.100000000000001</v>
      </c>
      <c r="AU74" s="295" t="s">
        <v>227</v>
      </c>
    </row>
    <row r="75" spans="6:47" ht="18" customHeight="1" x14ac:dyDescent="0.25">
      <c r="K75" s="191"/>
      <c r="L75" s="191"/>
      <c r="M75" s="191"/>
      <c r="R75" s="264"/>
      <c r="S75" s="264"/>
      <c r="T75" s="264"/>
      <c r="U75" s="264"/>
      <c r="V75" s="264"/>
      <c r="AA75" s="296"/>
      <c r="AP75" s="281">
        <v>11</v>
      </c>
      <c r="AQ75" s="281" t="s">
        <v>181</v>
      </c>
      <c r="AR75" s="283">
        <v>5407.1047020797114</v>
      </c>
      <c r="AS75" s="294">
        <v>0.65100000000000002</v>
      </c>
      <c r="AT75" s="285">
        <v>29.6</v>
      </c>
      <c r="AU75" s="295">
        <v>46.2</v>
      </c>
    </row>
    <row r="76" spans="6:47" ht="18" customHeight="1" x14ac:dyDescent="0.25">
      <c r="K76" s="191"/>
      <c r="L76" s="191"/>
      <c r="M76" s="191"/>
      <c r="R76" s="264"/>
      <c r="S76" s="264"/>
      <c r="T76" s="264"/>
      <c r="U76" s="264"/>
      <c r="V76" s="264"/>
      <c r="AA76" s="296"/>
      <c r="AP76" s="281">
        <v>12</v>
      </c>
      <c r="AQ76" s="281" t="s">
        <v>288</v>
      </c>
      <c r="AR76" s="283">
        <v>31458.692625521315</v>
      </c>
      <c r="AS76" s="294">
        <v>0.79500000000000004</v>
      </c>
      <c r="AT76" s="285">
        <v>23</v>
      </c>
      <c r="AU76" s="295">
        <v>49.2</v>
      </c>
    </row>
    <row r="77" spans="6:47" ht="18" customHeight="1" x14ac:dyDescent="0.25">
      <c r="K77" s="191"/>
      <c r="L77" s="191"/>
      <c r="M77" s="191"/>
      <c r="R77" s="264"/>
      <c r="S77" s="264"/>
      <c r="T77" s="264"/>
      <c r="U77" s="264"/>
      <c r="V77" s="264"/>
      <c r="AA77" s="296"/>
      <c r="AP77" s="281">
        <v>13</v>
      </c>
      <c r="AQ77" s="281" t="s">
        <v>289</v>
      </c>
      <c r="AR77" s="283">
        <v>12684.596191076354</v>
      </c>
      <c r="AS77" s="294">
        <v>0.72399999999999998</v>
      </c>
      <c r="AT77" s="285">
        <v>22.2</v>
      </c>
      <c r="AU77" s="295">
        <v>46.2</v>
      </c>
    </row>
    <row r="78" spans="6:47" ht="18" customHeight="1" x14ac:dyDescent="0.25">
      <c r="K78" s="191"/>
      <c r="L78" s="191"/>
      <c r="M78" s="191"/>
      <c r="R78" s="264"/>
      <c r="S78" s="264"/>
      <c r="T78" s="264"/>
      <c r="U78" s="264"/>
      <c r="V78" s="264"/>
      <c r="AA78" s="296"/>
      <c r="AP78" s="281">
        <v>14</v>
      </c>
      <c r="AQ78" s="281" t="s">
        <v>290</v>
      </c>
      <c r="AR78" s="283">
        <v>16328.686115677745</v>
      </c>
      <c r="AS78" s="294">
        <v>0.72399999999999998</v>
      </c>
      <c r="AT78" s="285">
        <v>70</v>
      </c>
      <c r="AU78" s="295" t="s">
        <v>227</v>
      </c>
    </row>
    <row r="79" spans="6:47" ht="18" customHeight="1" x14ac:dyDescent="0.25">
      <c r="K79" s="191"/>
      <c r="L79" s="191"/>
      <c r="M79" s="191"/>
      <c r="R79" s="264"/>
      <c r="S79" s="264"/>
      <c r="T79" s="264"/>
      <c r="U79" s="264"/>
      <c r="V79" s="264"/>
      <c r="AA79" s="296"/>
      <c r="AP79" s="281">
        <v>15</v>
      </c>
      <c r="AQ79" s="281" t="s">
        <v>291</v>
      </c>
      <c r="AR79" s="283">
        <v>26175.951728287968</v>
      </c>
      <c r="AS79" s="294">
        <v>0.79900000000000004</v>
      </c>
      <c r="AT79" s="285">
        <v>20</v>
      </c>
      <c r="AU79" s="295" t="s">
        <v>227</v>
      </c>
    </row>
    <row r="80" spans="6:47" ht="18" customHeight="1" x14ac:dyDescent="0.25">
      <c r="F80" s="297"/>
      <c r="L80" s="191"/>
      <c r="M80" s="191"/>
      <c r="R80" s="264"/>
      <c r="S80" s="264"/>
      <c r="T80" s="264"/>
      <c r="U80" s="264"/>
      <c r="V80" s="264"/>
      <c r="AA80" s="296"/>
      <c r="AP80" s="281">
        <v>16</v>
      </c>
      <c r="AQ80" s="281" t="s">
        <v>292</v>
      </c>
      <c r="AR80" s="283">
        <v>21561.062052917718</v>
      </c>
      <c r="AS80" s="294">
        <v>0.80800000000000005</v>
      </c>
      <c r="AT80" s="285">
        <v>9.6999999999999993</v>
      </c>
      <c r="AU80" s="295">
        <v>39.700000000000003</v>
      </c>
    </row>
    <row r="81" spans="6:47" ht="18" customHeight="1" x14ac:dyDescent="0.25">
      <c r="F81" s="297"/>
      <c r="R81" s="264"/>
      <c r="S81" s="264"/>
      <c r="T81" s="264"/>
      <c r="U81" s="264"/>
      <c r="V81" s="264"/>
      <c r="AA81" s="296"/>
      <c r="AP81" s="281">
        <v>17</v>
      </c>
      <c r="AQ81" s="281" t="s">
        <v>293</v>
      </c>
      <c r="AR81" s="283" t="s">
        <v>227</v>
      </c>
      <c r="AS81" s="294">
        <v>0.72599999999999998</v>
      </c>
      <c r="AT81" s="285">
        <v>19.7</v>
      </c>
      <c r="AU81" s="295" t="s">
        <v>227</v>
      </c>
    </row>
    <row r="82" spans="6:47" ht="14.25" customHeight="1" x14ac:dyDescent="0.25">
      <c r="F82" s="297"/>
      <c r="R82" s="264"/>
      <c r="S82" s="264"/>
      <c r="AA82" s="296"/>
      <c r="AP82" s="281"/>
      <c r="AQ82" s="281"/>
      <c r="AR82" s="283"/>
      <c r="AS82" s="294"/>
      <c r="AT82" s="285"/>
      <c r="AU82" s="295"/>
    </row>
    <row r="83" spans="6:47" ht="14.25" customHeight="1" x14ac:dyDescent="0.25">
      <c r="F83" s="297"/>
      <c r="R83" s="264"/>
      <c r="S83" s="264"/>
      <c r="AA83" s="296"/>
      <c r="AP83" s="281"/>
      <c r="AQ83" s="281"/>
      <c r="AR83" s="283"/>
      <c r="AS83" s="294"/>
      <c r="AT83" s="285"/>
      <c r="AU83" s="295"/>
    </row>
    <row r="84" spans="6:47" x14ac:dyDescent="0.25">
      <c r="F84" s="297"/>
      <c r="R84" s="264"/>
      <c r="S84" s="264"/>
      <c r="AA84" s="296"/>
    </row>
    <row r="85" spans="6:47" x14ac:dyDescent="0.25">
      <c r="R85" s="264"/>
      <c r="S85" s="264"/>
      <c r="AA85" s="296"/>
    </row>
    <row r="86" spans="6:47" x14ac:dyDescent="0.25">
      <c r="AA86" s="296"/>
    </row>
    <row r="87" spans="6:47" x14ac:dyDescent="0.25">
      <c r="AA87" s="296"/>
    </row>
    <row r="91" spans="6:47" ht="33.75" customHeight="1" x14ac:dyDescent="0.25"/>
    <row r="92" spans="6:47" ht="22.75" customHeight="1" x14ac:dyDescent="0.25"/>
    <row r="93" spans="6:47" ht="33.75" customHeight="1" x14ac:dyDescent="0.25"/>
    <row r="95" spans="6:47" ht="22.75" customHeight="1" x14ac:dyDescent="0.25"/>
    <row r="96" spans="6:47" x14ac:dyDescent="0.25">
      <c r="T96" s="298"/>
      <c r="U96" s="298"/>
      <c r="V96" s="193"/>
    </row>
    <row r="97" ht="22.75" customHeight="1" x14ac:dyDescent="0.25"/>
    <row r="98" ht="33.75" customHeight="1" x14ac:dyDescent="0.25"/>
    <row r="99" ht="33.75" customHeight="1" x14ac:dyDescent="0.25"/>
    <row r="101" ht="22.75" customHeight="1" x14ac:dyDescent="0.25"/>
    <row r="102" ht="22.75" customHeight="1" x14ac:dyDescent="0.25"/>
    <row r="103" ht="22.75" customHeight="1" x14ac:dyDescent="0.25"/>
    <row r="104" ht="22.75" customHeight="1" x14ac:dyDescent="0.25"/>
    <row r="105" ht="33.75" customHeight="1" x14ac:dyDescent="0.25"/>
    <row r="106" ht="22.75" customHeight="1" x14ac:dyDescent="0.25"/>
    <row r="107" ht="22.75" customHeight="1" x14ac:dyDescent="0.25"/>
    <row r="109" ht="22.75" customHeight="1" x14ac:dyDescent="0.25"/>
    <row r="110" ht="22.75" customHeight="1" x14ac:dyDescent="0.25"/>
    <row r="111" ht="22.75" customHeight="1" x14ac:dyDescent="0.25"/>
    <row r="112" ht="22.75" customHeight="1" x14ac:dyDescent="0.25"/>
    <row r="117" ht="22.75" customHeight="1" x14ac:dyDescent="0.25"/>
    <row r="118" ht="33.75" customHeight="1" x14ac:dyDescent="0.25"/>
    <row r="119" ht="22.75" customHeight="1" x14ac:dyDescent="0.25"/>
    <row r="120" ht="22.75" customHeight="1" x14ac:dyDescent="0.25"/>
    <row r="121" ht="33.75" customHeight="1" x14ac:dyDescent="0.25"/>
    <row r="122" ht="33.75" customHeight="1" x14ac:dyDescent="0.25"/>
    <row r="123" ht="22.75" customHeight="1" x14ac:dyDescent="0.25"/>
    <row r="124" ht="33.75" customHeight="1" x14ac:dyDescent="0.25"/>
    <row r="125" ht="33.75" customHeight="1" x14ac:dyDescent="0.25"/>
    <row r="126" ht="22.75" customHeight="1" x14ac:dyDescent="0.25"/>
    <row r="127" ht="22.75" customHeight="1" x14ac:dyDescent="0.25"/>
    <row r="128" ht="22.75" customHeight="1" x14ac:dyDescent="0.25"/>
    <row r="129" ht="22.75" customHeight="1" x14ac:dyDescent="0.25"/>
    <row r="130" ht="22.75" customHeight="1" x14ac:dyDescent="0.25"/>
    <row r="133" ht="22.75" customHeight="1" x14ac:dyDescent="0.25"/>
    <row r="134" ht="33.75" customHeight="1" x14ac:dyDescent="0.25"/>
    <row r="135" ht="33.75" customHeight="1" x14ac:dyDescent="0.25"/>
    <row r="136" ht="33.75" customHeight="1" x14ac:dyDescent="0.25"/>
    <row r="137" ht="22.75" customHeight="1" x14ac:dyDescent="0.25"/>
    <row r="138" ht="22.75" customHeight="1" x14ac:dyDescent="0.25"/>
    <row r="141" ht="33.75" customHeight="1" x14ac:dyDescent="0.25"/>
    <row r="143" ht="22.75" customHeight="1" x14ac:dyDescent="0.25"/>
    <row r="144" ht="22.75" customHeight="1" x14ac:dyDescent="0.25"/>
    <row r="145" ht="22.75" customHeight="1" x14ac:dyDescent="0.25"/>
    <row r="146" ht="33.75" customHeight="1" x14ac:dyDescent="0.25"/>
    <row r="147" ht="33.75" customHeight="1" x14ac:dyDescent="0.25"/>
    <row r="148" ht="45" customHeight="1" x14ac:dyDescent="0.25"/>
    <row r="149" ht="22.75" customHeight="1" x14ac:dyDescent="0.25"/>
    <row r="150" ht="22.75" customHeight="1" x14ac:dyDescent="0.25"/>
    <row r="151" ht="22.75" customHeight="1" x14ac:dyDescent="0.25"/>
    <row r="163" ht="22.75" customHeight="1" x14ac:dyDescent="0.25"/>
    <row r="164" ht="22.75" customHeight="1" x14ac:dyDescent="0.25"/>
    <row r="165" ht="22.75" customHeight="1" x14ac:dyDescent="0.25"/>
  </sheetData>
  <mergeCells count="6">
    <mergeCell ref="AN45:AN47"/>
    <mergeCell ref="AI45:AI47"/>
    <mergeCell ref="AJ45:AJ47"/>
    <mergeCell ref="AK45:AK47"/>
    <mergeCell ref="AL45:AL47"/>
    <mergeCell ref="AM45:AM47"/>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C5F4B-35E4-4E79-9B45-BF79C89CF6D9}">
  <sheetPr>
    <tabColor theme="3"/>
  </sheetPr>
  <dimension ref="A2:DM23"/>
  <sheetViews>
    <sheetView showGridLines="0" workbookViewId="0">
      <pane xSplit="4" ySplit="3" topLeftCell="E4" activePane="bottomRight" state="frozen"/>
      <selection pane="topRight" activeCell="E1" sqref="E1"/>
      <selection pane="bottomLeft" activeCell="A4" sqref="A4"/>
      <selection pane="bottomRight" activeCell="E12" sqref="E12"/>
    </sheetView>
  </sheetViews>
  <sheetFormatPr defaultRowHeight="12.5" x14ac:dyDescent="0.25"/>
  <cols>
    <col min="1" max="1" width="19.08984375" style="189" bestFit="1" customWidth="1"/>
    <col min="2" max="2" width="15.453125" style="189" bestFit="1" customWidth="1"/>
    <col min="3" max="3" width="13.90625" style="189" bestFit="1" customWidth="1"/>
    <col min="4" max="4" width="17.26953125" style="189" bestFit="1" customWidth="1"/>
    <col min="5" max="5" width="14.36328125" style="189" bestFit="1" customWidth="1"/>
    <col min="6" max="6" width="9.90625" style="189" bestFit="1" customWidth="1"/>
    <col min="7" max="7" width="14.36328125" style="189" bestFit="1" customWidth="1"/>
    <col min="8" max="8" width="8.90625" style="189" bestFit="1" customWidth="1"/>
    <col min="9" max="9" width="15.36328125" style="189" bestFit="1" customWidth="1"/>
    <col min="10" max="10" width="9" style="189" bestFit="1" customWidth="1"/>
    <col min="11" max="13" width="14.36328125" style="189" bestFit="1" customWidth="1"/>
    <col min="14" max="16" width="8.90625" style="189" bestFit="1" customWidth="1"/>
    <col min="17" max="19" width="9.90625" style="189" bestFit="1" customWidth="1"/>
    <col min="20" max="28" width="8.90625" style="189" bestFit="1" customWidth="1"/>
    <col min="29" max="31" width="9.90625" style="189" bestFit="1" customWidth="1"/>
    <col min="32" max="40" width="8.90625" style="189" bestFit="1" customWidth="1"/>
    <col min="41" max="43" width="9.90625" style="189" bestFit="1" customWidth="1"/>
    <col min="44" max="52" width="8.90625" style="189" bestFit="1" customWidth="1"/>
    <col min="53" max="55" width="9.90625" style="189" bestFit="1" customWidth="1"/>
    <col min="56" max="64" width="8.90625" style="189" bestFit="1" customWidth="1"/>
    <col min="65" max="67" width="9.90625" style="189" bestFit="1" customWidth="1"/>
    <col min="68" max="76" width="8.90625" style="189" bestFit="1" customWidth="1"/>
    <col min="77" max="79" width="9.90625" style="189" bestFit="1" customWidth="1"/>
    <col min="80" max="88" width="8.90625" style="189" bestFit="1" customWidth="1"/>
    <col min="89" max="91" width="9.90625" style="189" bestFit="1" customWidth="1"/>
    <col min="92" max="100" width="8.90625" style="189" bestFit="1" customWidth="1"/>
    <col min="101" max="103" width="9.90625" style="189" bestFit="1" customWidth="1"/>
    <col min="104" max="112" width="8.90625" style="189" bestFit="1" customWidth="1"/>
    <col min="113" max="115" width="9.90625" style="189" bestFit="1" customWidth="1"/>
    <col min="116" max="16384" width="8.7265625" style="189"/>
  </cols>
  <sheetData>
    <row r="2" spans="1:117" ht="13" thickBot="1" x14ac:dyDescent="0.3">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row>
    <row r="3" spans="1:117" ht="13" x14ac:dyDescent="0.3">
      <c r="A3" s="300" t="s">
        <v>294</v>
      </c>
      <c r="B3" s="301" t="s">
        <v>295</v>
      </c>
      <c r="C3" s="302" t="s">
        <v>296</v>
      </c>
      <c r="D3" s="303" t="s">
        <v>297</v>
      </c>
      <c r="E3" s="304">
        <v>44074</v>
      </c>
      <c r="F3" s="305">
        <f>EOMONTH(E3,1)</f>
        <v>44104</v>
      </c>
      <c r="G3" s="305">
        <f t="shared" ref="G3:BR3" si="0">EOMONTH(F3,1)</f>
        <v>44135</v>
      </c>
      <c r="H3" s="305">
        <f t="shared" si="0"/>
        <v>44165</v>
      </c>
      <c r="I3" s="305">
        <f t="shared" si="0"/>
        <v>44196</v>
      </c>
      <c r="J3" s="305">
        <f t="shared" si="0"/>
        <v>44227</v>
      </c>
      <c r="K3" s="305">
        <f t="shared" si="0"/>
        <v>44255</v>
      </c>
      <c r="L3" s="305">
        <f t="shared" si="0"/>
        <v>44286</v>
      </c>
      <c r="M3" s="305">
        <f t="shared" si="0"/>
        <v>44316</v>
      </c>
      <c r="N3" s="305">
        <f t="shared" si="0"/>
        <v>44347</v>
      </c>
      <c r="O3" s="305">
        <f t="shared" si="0"/>
        <v>44377</v>
      </c>
      <c r="P3" s="305">
        <f t="shared" si="0"/>
        <v>44408</v>
      </c>
      <c r="Q3" s="305">
        <f t="shared" si="0"/>
        <v>44439</v>
      </c>
      <c r="R3" s="305">
        <f t="shared" si="0"/>
        <v>44469</v>
      </c>
      <c r="S3" s="305">
        <f t="shared" si="0"/>
        <v>44500</v>
      </c>
      <c r="T3" s="305">
        <f t="shared" si="0"/>
        <v>44530</v>
      </c>
      <c r="U3" s="305">
        <f t="shared" si="0"/>
        <v>44561</v>
      </c>
      <c r="V3" s="305">
        <f t="shared" si="0"/>
        <v>44592</v>
      </c>
      <c r="W3" s="305">
        <f t="shared" si="0"/>
        <v>44620</v>
      </c>
      <c r="X3" s="305">
        <f t="shared" si="0"/>
        <v>44651</v>
      </c>
      <c r="Y3" s="305">
        <f t="shared" si="0"/>
        <v>44681</v>
      </c>
      <c r="Z3" s="305">
        <f t="shared" si="0"/>
        <v>44712</v>
      </c>
      <c r="AA3" s="305">
        <f t="shared" si="0"/>
        <v>44742</v>
      </c>
      <c r="AB3" s="305">
        <f t="shared" si="0"/>
        <v>44773</v>
      </c>
      <c r="AC3" s="305">
        <f t="shared" si="0"/>
        <v>44804</v>
      </c>
      <c r="AD3" s="305">
        <f t="shared" si="0"/>
        <v>44834</v>
      </c>
      <c r="AE3" s="305">
        <f t="shared" si="0"/>
        <v>44865</v>
      </c>
      <c r="AF3" s="305">
        <f t="shared" si="0"/>
        <v>44895</v>
      </c>
      <c r="AG3" s="305">
        <f t="shared" si="0"/>
        <v>44926</v>
      </c>
      <c r="AH3" s="305">
        <f t="shared" si="0"/>
        <v>44957</v>
      </c>
      <c r="AI3" s="305">
        <f t="shared" si="0"/>
        <v>44985</v>
      </c>
      <c r="AJ3" s="305">
        <f t="shared" si="0"/>
        <v>45016</v>
      </c>
      <c r="AK3" s="305">
        <f t="shared" si="0"/>
        <v>45046</v>
      </c>
      <c r="AL3" s="305">
        <f t="shared" si="0"/>
        <v>45077</v>
      </c>
      <c r="AM3" s="305">
        <f t="shared" si="0"/>
        <v>45107</v>
      </c>
      <c r="AN3" s="305">
        <f t="shared" si="0"/>
        <v>45138</v>
      </c>
      <c r="AO3" s="305">
        <f t="shared" si="0"/>
        <v>45169</v>
      </c>
      <c r="AP3" s="305">
        <f t="shared" si="0"/>
        <v>45199</v>
      </c>
      <c r="AQ3" s="305">
        <f t="shared" si="0"/>
        <v>45230</v>
      </c>
      <c r="AR3" s="305">
        <f t="shared" si="0"/>
        <v>45260</v>
      </c>
      <c r="AS3" s="305">
        <f t="shared" si="0"/>
        <v>45291</v>
      </c>
      <c r="AT3" s="305">
        <f t="shared" si="0"/>
        <v>45322</v>
      </c>
      <c r="AU3" s="305">
        <f t="shared" si="0"/>
        <v>45351</v>
      </c>
      <c r="AV3" s="305">
        <f t="shared" si="0"/>
        <v>45382</v>
      </c>
      <c r="AW3" s="305">
        <f t="shared" si="0"/>
        <v>45412</v>
      </c>
      <c r="AX3" s="305">
        <f t="shared" si="0"/>
        <v>45443</v>
      </c>
      <c r="AY3" s="305">
        <f t="shared" si="0"/>
        <v>45473</v>
      </c>
      <c r="AZ3" s="305">
        <f t="shared" si="0"/>
        <v>45504</v>
      </c>
      <c r="BA3" s="305">
        <f t="shared" si="0"/>
        <v>45535</v>
      </c>
      <c r="BB3" s="305">
        <f t="shared" si="0"/>
        <v>45565</v>
      </c>
      <c r="BC3" s="305">
        <f t="shared" si="0"/>
        <v>45596</v>
      </c>
      <c r="BD3" s="305">
        <f t="shared" si="0"/>
        <v>45626</v>
      </c>
      <c r="BE3" s="305">
        <f t="shared" si="0"/>
        <v>45657</v>
      </c>
      <c r="BF3" s="305">
        <f t="shared" si="0"/>
        <v>45688</v>
      </c>
      <c r="BG3" s="305">
        <f t="shared" si="0"/>
        <v>45716</v>
      </c>
      <c r="BH3" s="305">
        <f t="shared" si="0"/>
        <v>45747</v>
      </c>
      <c r="BI3" s="305">
        <f t="shared" si="0"/>
        <v>45777</v>
      </c>
      <c r="BJ3" s="305">
        <f t="shared" si="0"/>
        <v>45808</v>
      </c>
      <c r="BK3" s="305">
        <f t="shared" si="0"/>
        <v>45838</v>
      </c>
      <c r="BL3" s="305">
        <f t="shared" si="0"/>
        <v>45869</v>
      </c>
      <c r="BM3" s="305">
        <f t="shared" si="0"/>
        <v>45900</v>
      </c>
      <c r="BN3" s="305">
        <f t="shared" si="0"/>
        <v>45930</v>
      </c>
      <c r="BO3" s="305">
        <f t="shared" si="0"/>
        <v>45961</v>
      </c>
      <c r="BP3" s="305">
        <f t="shared" si="0"/>
        <v>45991</v>
      </c>
      <c r="BQ3" s="305">
        <f t="shared" si="0"/>
        <v>46022</v>
      </c>
      <c r="BR3" s="305">
        <f t="shared" si="0"/>
        <v>46053</v>
      </c>
      <c r="BS3" s="305">
        <f t="shared" ref="BS3:DM3" si="1">EOMONTH(BR3,1)</f>
        <v>46081</v>
      </c>
      <c r="BT3" s="305">
        <f t="shared" si="1"/>
        <v>46112</v>
      </c>
      <c r="BU3" s="305">
        <f t="shared" si="1"/>
        <v>46142</v>
      </c>
      <c r="BV3" s="305">
        <f t="shared" si="1"/>
        <v>46173</v>
      </c>
      <c r="BW3" s="305">
        <f t="shared" si="1"/>
        <v>46203</v>
      </c>
      <c r="BX3" s="305">
        <f t="shared" si="1"/>
        <v>46234</v>
      </c>
      <c r="BY3" s="305">
        <f t="shared" si="1"/>
        <v>46265</v>
      </c>
      <c r="BZ3" s="305">
        <f t="shared" si="1"/>
        <v>46295</v>
      </c>
      <c r="CA3" s="305">
        <f t="shared" si="1"/>
        <v>46326</v>
      </c>
      <c r="CB3" s="305">
        <f t="shared" si="1"/>
        <v>46356</v>
      </c>
      <c r="CC3" s="305">
        <f t="shared" si="1"/>
        <v>46387</v>
      </c>
      <c r="CD3" s="305">
        <f t="shared" si="1"/>
        <v>46418</v>
      </c>
      <c r="CE3" s="305">
        <f t="shared" si="1"/>
        <v>46446</v>
      </c>
      <c r="CF3" s="305">
        <f t="shared" si="1"/>
        <v>46477</v>
      </c>
      <c r="CG3" s="305">
        <f t="shared" si="1"/>
        <v>46507</v>
      </c>
      <c r="CH3" s="305">
        <f t="shared" si="1"/>
        <v>46538</v>
      </c>
      <c r="CI3" s="305">
        <f t="shared" si="1"/>
        <v>46568</v>
      </c>
      <c r="CJ3" s="305">
        <f t="shared" si="1"/>
        <v>46599</v>
      </c>
      <c r="CK3" s="305">
        <f t="shared" si="1"/>
        <v>46630</v>
      </c>
      <c r="CL3" s="305">
        <f t="shared" si="1"/>
        <v>46660</v>
      </c>
      <c r="CM3" s="305">
        <f t="shared" si="1"/>
        <v>46691</v>
      </c>
      <c r="CN3" s="305">
        <f t="shared" si="1"/>
        <v>46721</v>
      </c>
      <c r="CO3" s="305">
        <f t="shared" si="1"/>
        <v>46752</v>
      </c>
      <c r="CP3" s="305">
        <f t="shared" si="1"/>
        <v>46783</v>
      </c>
      <c r="CQ3" s="305">
        <f t="shared" si="1"/>
        <v>46812</v>
      </c>
      <c r="CR3" s="305">
        <f t="shared" si="1"/>
        <v>46843</v>
      </c>
      <c r="CS3" s="305">
        <f t="shared" si="1"/>
        <v>46873</v>
      </c>
      <c r="CT3" s="305">
        <f t="shared" si="1"/>
        <v>46904</v>
      </c>
      <c r="CU3" s="305">
        <f t="shared" si="1"/>
        <v>46934</v>
      </c>
      <c r="CV3" s="305">
        <f t="shared" si="1"/>
        <v>46965</v>
      </c>
      <c r="CW3" s="305">
        <f t="shared" si="1"/>
        <v>46996</v>
      </c>
      <c r="CX3" s="305">
        <f t="shared" si="1"/>
        <v>47026</v>
      </c>
      <c r="CY3" s="305">
        <f t="shared" si="1"/>
        <v>47057</v>
      </c>
      <c r="CZ3" s="305">
        <f t="shared" si="1"/>
        <v>47087</v>
      </c>
      <c r="DA3" s="305">
        <f t="shared" si="1"/>
        <v>47118</v>
      </c>
      <c r="DB3" s="305">
        <f t="shared" si="1"/>
        <v>47149</v>
      </c>
      <c r="DC3" s="305">
        <f t="shared" si="1"/>
        <v>47177</v>
      </c>
      <c r="DD3" s="305">
        <f t="shared" si="1"/>
        <v>47208</v>
      </c>
      <c r="DE3" s="305">
        <f t="shared" si="1"/>
        <v>47238</v>
      </c>
      <c r="DF3" s="305">
        <f t="shared" si="1"/>
        <v>47269</v>
      </c>
      <c r="DG3" s="305">
        <f t="shared" si="1"/>
        <v>47299</v>
      </c>
      <c r="DH3" s="305">
        <f t="shared" si="1"/>
        <v>47330</v>
      </c>
      <c r="DI3" s="305">
        <f t="shared" si="1"/>
        <v>47361</v>
      </c>
      <c r="DJ3" s="305">
        <f t="shared" si="1"/>
        <v>47391</v>
      </c>
      <c r="DK3" s="305">
        <f t="shared" si="1"/>
        <v>47422</v>
      </c>
      <c r="DL3" s="305">
        <f t="shared" si="1"/>
        <v>47452</v>
      </c>
      <c r="DM3" s="305">
        <f t="shared" si="1"/>
        <v>47483</v>
      </c>
    </row>
    <row r="4" spans="1:117" x14ac:dyDescent="0.25">
      <c r="A4" s="306" t="s">
        <v>298</v>
      </c>
      <c r="B4" s="307">
        <v>6000000</v>
      </c>
      <c r="C4" s="308">
        <f>SUM(E4:DM4)</f>
        <v>4800000</v>
      </c>
      <c r="D4" s="309">
        <f>C4/B4</f>
        <v>0.8</v>
      </c>
      <c r="E4" s="310">
        <v>1200000</v>
      </c>
      <c r="F4" s="308"/>
      <c r="G4" s="308">
        <v>2400000</v>
      </c>
      <c r="H4" s="308"/>
      <c r="I4" s="308"/>
      <c r="J4" s="308"/>
      <c r="K4" s="308">
        <v>1200000</v>
      </c>
      <c r="L4" s="308"/>
      <c r="M4" s="308"/>
      <c r="N4" s="308"/>
      <c r="O4" s="308"/>
      <c r="P4" s="308"/>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11"/>
    </row>
    <row r="5" spans="1:117" x14ac:dyDescent="0.25">
      <c r="A5" s="306" t="s">
        <v>136</v>
      </c>
      <c r="B5" s="307">
        <v>4000000</v>
      </c>
      <c r="C5" s="308">
        <f t="shared" ref="C5:C10" si="2">SUM(E5:DM5)</f>
        <v>3200000</v>
      </c>
      <c r="D5" s="309">
        <f t="shared" ref="D5:D11" si="3">C5/B5</f>
        <v>0.8</v>
      </c>
      <c r="E5" s="310">
        <v>800000</v>
      </c>
      <c r="F5" s="308"/>
      <c r="G5" s="308">
        <v>1600000</v>
      </c>
      <c r="H5" s="308"/>
      <c r="I5" s="308"/>
      <c r="J5" s="308"/>
      <c r="K5" s="308">
        <v>800000</v>
      </c>
      <c r="L5" s="308"/>
      <c r="M5" s="308"/>
      <c r="N5" s="308"/>
      <c r="O5" s="308"/>
      <c r="P5" s="308"/>
      <c r="Q5" s="308"/>
      <c r="R5" s="308"/>
      <c r="S5" s="308"/>
      <c r="T5" s="308"/>
      <c r="U5" s="308"/>
      <c r="V5" s="308"/>
      <c r="W5" s="308"/>
      <c r="X5" s="308"/>
      <c r="Y5" s="308"/>
      <c r="Z5" s="308"/>
      <c r="AA5" s="308"/>
      <c r="AB5" s="308"/>
      <c r="AC5" s="308"/>
      <c r="AD5" s="308"/>
      <c r="AE5" s="308"/>
      <c r="AF5" s="308"/>
      <c r="AG5" s="308"/>
      <c r="AH5" s="308"/>
      <c r="AI5" s="308"/>
      <c r="AJ5" s="308"/>
      <c r="AK5" s="308"/>
      <c r="AL5" s="308"/>
      <c r="AM5" s="308"/>
      <c r="AN5" s="308"/>
      <c r="AO5" s="308"/>
      <c r="AP5" s="308"/>
      <c r="AQ5" s="308"/>
      <c r="AR5" s="308"/>
      <c r="AS5" s="308"/>
      <c r="AT5" s="308"/>
      <c r="AU5" s="308"/>
      <c r="AV5" s="308"/>
      <c r="AW5" s="308"/>
      <c r="AX5" s="308"/>
      <c r="AY5" s="308"/>
      <c r="AZ5" s="308"/>
      <c r="BA5" s="308"/>
      <c r="BB5" s="308"/>
      <c r="BC5" s="308"/>
      <c r="BD5" s="308"/>
      <c r="BE5" s="308"/>
      <c r="BF5" s="308"/>
      <c r="BG5" s="308"/>
      <c r="BH5" s="308"/>
      <c r="BI5" s="308"/>
      <c r="BJ5" s="308"/>
      <c r="BK5" s="308"/>
      <c r="BL5" s="308"/>
      <c r="BM5" s="308"/>
      <c r="BN5" s="308"/>
      <c r="BO5" s="308"/>
      <c r="BP5" s="308"/>
      <c r="BQ5" s="308"/>
      <c r="BR5" s="308"/>
      <c r="BS5" s="308"/>
      <c r="BT5" s="308"/>
      <c r="BU5" s="308"/>
      <c r="BV5" s="308"/>
      <c r="BW5" s="308"/>
      <c r="BX5" s="308"/>
      <c r="BY5" s="308"/>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11"/>
    </row>
    <row r="6" spans="1:117" x14ac:dyDescent="0.25">
      <c r="A6" s="306" t="s">
        <v>299</v>
      </c>
      <c r="B6" s="307">
        <v>4000000</v>
      </c>
      <c r="C6" s="308">
        <f t="shared" si="2"/>
        <v>3200000</v>
      </c>
      <c r="D6" s="309">
        <f t="shared" si="3"/>
        <v>0.8</v>
      </c>
      <c r="E6" s="310">
        <v>800000</v>
      </c>
      <c r="F6" s="308"/>
      <c r="G6" s="308">
        <v>1600000</v>
      </c>
      <c r="H6" s="308"/>
      <c r="I6" s="308"/>
      <c r="J6" s="308"/>
      <c r="K6" s="308">
        <v>800000</v>
      </c>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308"/>
      <c r="AR6" s="308"/>
      <c r="AS6" s="308"/>
      <c r="AT6" s="308"/>
      <c r="AU6" s="308"/>
      <c r="AV6" s="308"/>
      <c r="AW6" s="308"/>
      <c r="AX6" s="308"/>
      <c r="AY6" s="308"/>
      <c r="AZ6" s="308"/>
      <c r="BA6" s="308"/>
      <c r="BB6" s="308"/>
      <c r="BC6" s="308"/>
      <c r="BD6" s="308"/>
      <c r="BE6" s="308"/>
      <c r="BF6" s="308"/>
      <c r="BG6" s="308"/>
      <c r="BH6" s="308"/>
      <c r="BI6" s="308"/>
      <c r="BJ6" s="308"/>
      <c r="BK6" s="308"/>
      <c r="BL6" s="308"/>
      <c r="BM6" s="308"/>
      <c r="BN6" s="308"/>
      <c r="BO6" s="308"/>
      <c r="BP6" s="308"/>
      <c r="BQ6" s="308"/>
      <c r="BR6" s="308"/>
      <c r="BS6" s="308"/>
      <c r="BT6" s="308"/>
      <c r="BU6" s="308"/>
      <c r="BV6" s="308"/>
      <c r="BW6" s="308"/>
      <c r="BX6" s="308"/>
      <c r="BY6" s="308"/>
      <c r="BZ6" s="308"/>
      <c r="CA6" s="308"/>
      <c r="CB6" s="308"/>
      <c r="CC6" s="308"/>
      <c r="CD6" s="308"/>
      <c r="CE6" s="308"/>
      <c r="CF6" s="308"/>
      <c r="CG6" s="308"/>
      <c r="CH6" s="308"/>
      <c r="CI6" s="308"/>
      <c r="CJ6" s="308"/>
      <c r="CK6" s="308"/>
      <c r="CL6" s="308"/>
      <c r="CM6" s="308"/>
      <c r="CN6" s="308"/>
      <c r="CO6" s="308"/>
      <c r="CP6" s="308"/>
      <c r="CQ6" s="308"/>
      <c r="CR6" s="308"/>
      <c r="CS6" s="308"/>
      <c r="CT6" s="308"/>
      <c r="CU6" s="308"/>
      <c r="CV6" s="308"/>
      <c r="CW6" s="308"/>
      <c r="CX6" s="308"/>
      <c r="CY6" s="308"/>
      <c r="CZ6" s="308"/>
      <c r="DA6" s="308"/>
      <c r="DB6" s="308"/>
      <c r="DC6" s="308"/>
      <c r="DD6" s="308"/>
      <c r="DE6" s="308"/>
      <c r="DF6" s="308"/>
      <c r="DG6" s="308"/>
      <c r="DH6" s="308"/>
      <c r="DI6" s="308"/>
      <c r="DJ6" s="308"/>
      <c r="DK6" s="308"/>
      <c r="DL6" s="308"/>
      <c r="DM6" s="311"/>
    </row>
    <row r="7" spans="1:117" x14ac:dyDescent="0.25">
      <c r="A7" s="306" t="s">
        <v>300</v>
      </c>
      <c r="B7" s="307">
        <v>4000000</v>
      </c>
      <c r="C7" s="308">
        <f t="shared" si="2"/>
        <v>3200000</v>
      </c>
      <c r="D7" s="309">
        <f t="shared" si="3"/>
        <v>0.8</v>
      </c>
      <c r="E7" s="310">
        <v>800000</v>
      </c>
      <c r="F7" s="308"/>
      <c r="G7" s="308">
        <v>1600000</v>
      </c>
      <c r="H7" s="308"/>
      <c r="I7" s="308"/>
      <c r="J7" s="308"/>
      <c r="K7" s="308">
        <v>800000</v>
      </c>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8"/>
      <c r="AL7" s="308"/>
      <c r="AM7" s="308"/>
      <c r="AN7" s="308"/>
      <c r="AO7" s="308"/>
      <c r="AP7" s="308"/>
      <c r="AQ7" s="308"/>
      <c r="AR7" s="308"/>
      <c r="AS7" s="308"/>
      <c r="AT7" s="308"/>
      <c r="AU7" s="308"/>
      <c r="AV7" s="308"/>
      <c r="AW7" s="308"/>
      <c r="AX7" s="308"/>
      <c r="AY7" s="308"/>
      <c r="AZ7" s="308"/>
      <c r="BA7" s="308"/>
      <c r="BB7" s="308"/>
      <c r="BC7" s="308"/>
      <c r="BD7" s="308"/>
      <c r="BE7" s="308"/>
      <c r="BF7" s="308"/>
      <c r="BG7" s="308"/>
      <c r="BH7" s="308"/>
      <c r="BI7" s="308"/>
      <c r="BJ7" s="308"/>
      <c r="BK7" s="308"/>
      <c r="BL7" s="308"/>
      <c r="BM7" s="308"/>
      <c r="BN7" s="308"/>
      <c r="BO7" s="308"/>
      <c r="BP7" s="308"/>
      <c r="BQ7" s="308"/>
      <c r="BR7" s="308"/>
      <c r="BS7" s="308"/>
      <c r="BT7" s="308"/>
      <c r="BU7" s="308"/>
      <c r="BV7" s="308"/>
      <c r="BW7" s="308"/>
      <c r="BX7" s="308"/>
      <c r="BY7" s="308"/>
      <c r="BZ7" s="308"/>
      <c r="CA7" s="308"/>
      <c r="CB7" s="308"/>
      <c r="CC7" s="308"/>
      <c r="CD7" s="308"/>
      <c r="CE7" s="308"/>
      <c r="CF7" s="308"/>
      <c r="CG7" s="308"/>
      <c r="CH7" s="308"/>
      <c r="CI7" s="308"/>
      <c r="CJ7" s="308"/>
      <c r="CK7" s="308"/>
      <c r="CL7" s="308"/>
      <c r="CM7" s="308"/>
      <c r="CN7" s="308"/>
      <c r="CO7" s="308"/>
      <c r="CP7" s="308"/>
      <c r="CQ7" s="308"/>
      <c r="CR7" s="308"/>
      <c r="CS7" s="308"/>
      <c r="CT7" s="308"/>
      <c r="CU7" s="308"/>
      <c r="CV7" s="308"/>
      <c r="CW7" s="308"/>
      <c r="CX7" s="308"/>
      <c r="CY7" s="308"/>
      <c r="CZ7" s="308"/>
      <c r="DA7" s="308"/>
      <c r="DB7" s="308"/>
      <c r="DC7" s="308"/>
      <c r="DD7" s="308"/>
      <c r="DE7" s="308"/>
      <c r="DF7" s="308"/>
      <c r="DG7" s="308"/>
      <c r="DH7" s="308"/>
      <c r="DI7" s="308"/>
      <c r="DJ7" s="308"/>
      <c r="DK7" s="308"/>
      <c r="DL7" s="308"/>
      <c r="DM7" s="311"/>
    </row>
    <row r="8" spans="1:117" x14ac:dyDescent="0.25">
      <c r="A8" s="306" t="s">
        <v>301</v>
      </c>
      <c r="B8" s="307">
        <v>1000000</v>
      </c>
      <c r="C8" s="308">
        <f t="shared" si="2"/>
        <v>800000</v>
      </c>
      <c r="D8" s="309">
        <f t="shared" si="3"/>
        <v>0.8</v>
      </c>
      <c r="E8" s="310">
        <v>200000</v>
      </c>
      <c r="F8" s="308"/>
      <c r="G8" s="308">
        <v>400000</v>
      </c>
      <c r="H8" s="308"/>
      <c r="I8" s="308"/>
      <c r="J8" s="308"/>
      <c r="K8" s="308">
        <v>200000</v>
      </c>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c r="AL8" s="308"/>
      <c r="AM8" s="308"/>
      <c r="AN8" s="308"/>
      <c r="AO8" s="308"/>
      <c r="AP8" s="308"/>
      <c r="AQ8" s="308"/>
      <c r="AR8" s="308"/>
      <c r="AS8" s="308"/>
      <c r="AT8" s="308"/>
      <c r="AU8" s="308"/>
      <c r="AV8" s="308"/>
      <c r="AW8" s="308"/>
      <c r="AX8" s="308"/>
      <c r="AY8" s="308"/>
      <c r="AZ8" s="308"/>
      <c r="BA8" s="308"/>
      <c r="BB8" s="308"/>
      <c r="BC8" s="308"/>
      <c r="BD8" s="308"/>
      <c r="BE8" s="308"/>
      <c r="BF8" s="308"/>
      <c r="BG8" s="308"/>
      <c r="BH8" s="308"/>
      <c r="BI8" s="308"/>
      <c r="BJ8" s="308"/>
      <c r="BK8" s="308"/>
      <c r="BL8" s="308"/>
      <c r="BM8" s="308"/>
      <c r="BN8" s="308"/>
      <c r="BO8" s="308"/>
      <c r="BP8" s="308"/>
      <c r="BQ8" s="308"/>
      <c r="BR8" s="308"/>
      <c r="BS8" s="308"/>
      <c r="BT8" s="308"/>
      <c r="BU8" s="308"/>
      <c r="BV8" s="308"/>
      <c r="BW8" s="308"/>
      <c r="BX8" s="308"/>
      <c r="BY8" s="308"/>
      <c r="BZ8" s="308"/>
      <c r="CA8" s="308"/>
      <c r="CB8" s="308"/>
      <c r="CC8" s="308"/>
      <c r="CD8" s="308"/>
      <c r="CE8" s="308"/>
      <c r="CF8" s="308"/>
      <c r="CG8" s="308"/>
      <c r="CH8" s="308"/>
      <c r="CI8" s="308"/>
      <c r="CJ8" s="308"/>
      <c r="CK8" s="308"/>
      <c r="CL8" s="308"/>
      <c r="CM8" s="308"/>
      <c r="CN8" s="308"/>
      <c r="CO8" s="308"/>
      <c r="CP8" s="308"/>
      <c r="CQ8" s="308"/>
      <c r="CR8" s="308"/>
      <c r="CS8" s="308"/>
      <c r="CT8" s="308"/>
      <c r="CU8" s="308"/>
      <c r="CV8" s="308"/>
      <c r="CW8" s="308"/>
      <c r="CX8" s="308"/>
      <c r="CY8" s="308"/>
      <c r="CZ8" s="308"/>
      <c r="DA8" s="308"/>
      <c r="DB8" s="308"/>
      <c r="DC8" s="308"/>
      <c r="DD8" s="308"/>
      <c r="DE8" s="308"/>
      <c r="DF8" s="308"/>
      <c r="DG8" s="308"/>
      <c r="DH8" s="308"/>
      <c r="DI8" s="308"/>
      <c r="DJ8" s="308"/>
      <c r="DK8" s="308"/>
      <c r="DL8" s="308"/>
      <c r="DM8" s="311"/>
    </row>
    <row r="9" spans="1:117" x14ac:dyDescent="0.25">
      <c r="A9" s="306" t="s">
        <v>302</v>
      </c>
      <c r="B9" s="307">
        <v>1000000</v>
      </c>
      <c r="C9" s="308">
        <f t="shared" si="2"/>
        <v>800000</v>
      </c>
      <c r="D9" s="309">
        <f t="shared" si="3"/>
        <v>0.8</v>
      </c>
      <c r="E9" s="310">
        <v>200000</v>
      </c>
      <c r="F9" s="308"/>
      <c r="G9" s="308">
        <v>400000</v>
      </c>
      <c r="H9" s="308"/>
      <c r="I9" s="308"/>
      <c r="J9" s="308"/>
      <c r="K9" s="308">
        <v>200000</v>
      </c>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8"/>
      <c r="CA9" s="308"/>
      <c r="CB9" s="308"/>
      <c r="CC9" s="308"/>
      <c r="CD9" s="308"/>
      <c r="CE9" s="308"/>
      <c r="CF9" s="308"/>
      <c r="CG9" s="308"/>
      <c r="CH9" s="308"/>
      <c r="CI9" s="308"/>
      <c r="CJ9" s="308"/>
      <c r="CK9" s="308"/>
      <c r="CL9" s="308"/>
      <c r="CM9" s="308"/>
      <c r="CN9" s="308"/>
      <c r="CO9" s="308"/>
      <c r="CP9" s="308"/>
      <c r="CQ9" s="308"/>
      <c r="CR9" s="308"/>
      <c r="CS9" s="308"/>
      <c r="CT9" s="308"/>
      <c r="CU9" s="308"/>
      <c r="CV9" s="308"/>
      <c r="CW9" s="308"/>
      <c r="CX9" s="308"/>
      <c r="CY9" s="308"/>
      <c r="CZ9" s="308"/>
      <c r="DA9" s="308"/>
      <c r="DB9" s="308"/>
      <c r="DC9" s="308"/>
      <c r="DD9" s="308"/>
      <c r="DE9" s="308"/>
      <c r="DF9" s="308"/>
      <c r="DG9" s="308"/>
      <c r="DH9" s="308"/>
      <c r="DI9" s="308"/>
      <c r="DJ9" s="308"/>
      <c r="DK9" s="308"/>
      <c r="DL9" s="308"/>
      <c r="DM9" s="311"/>
    </row>
    <row r="10" spans="1:117" x14ac:dyDescent="0.25">
      <c r="A10" s="306" t="s">
        <v>303</v>
      </c>
      <c r="B10" s="307">
        <v>50000</v>
      </c>
      <c r="C10" s="308">
        <f t="shared" si="2"/>
        <v>50000</v>
      </c>
      <c r="D10" s="309">
        <f t="shared" si="3"/>
        <v>1</v>
      </c>
      <c r="E10" s="310">
        <v>50000</v>
      </c>
      <c r="F10" s="308"/>
      <c r="G10" s="308"/>
      <c r="H10" s="308"/>
      <c r="I10" s="308"/>
      <c r="J10" s="308"/>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8"/>
      <c r="AL10" s="308"/>
      <c r="AM10" s="308"/>
      <c r="AN10" s="308"/>
      <c r="AO10" s="308"/>
      <c r="AP10" s="308"/>
      <c r="AQ10" s="308"/>
      <c r="AR10" s="308"/>
      <c r="AS10" s="308"/>
      <c r="AT10" s="308"/>
      <c r="AU10" s="308"/>
      <c r="AV10" s="308"/>
      <c r="AW10" s="308"/>
      <c r="AX10" s="308"/>
      <c r="AY10" s="308"/>
      <c r="AZ10" s="308"/>
      <c r="BA10" s="308"/>
      <c r="BB10" s="308"/>
      <c r="BC10" s="308"/>
      <c r="BD10" s="308"/>
      <c r="BE10" s="308"/>
      <c r="BF10" s="308"/>
      <c r="BG10" s="308"/>
      <c r="BH10" s="308"/>
      <c r="BI10" s="308"/>
      <c r="BJ10" s="308"/>
      <c r="BK10" s="308"/>
      <c r="BL10" s="308"/>
      <c r="BM10" s="308"/>
      <c r="BN10" s="308"/>
      <c r="BO10" s="308"/>
      <c r="BP10" s="308"/>
      <c r="BQ10" s="308"/>
      <c r="BR10" s="308"/>
      <c r="BS10" s="308"/>
      <c r="BT10" s="308"/>
      <c r="BU10" s="308"/>
      <c r="BV10" s="308"/>
      <c r="BW10" s="308"/>
      <c r="BX10" s="308"/>
      <c r="BY10" s="308"/>
      <c r="BZ10" s="308"/>
      <c r="CA10" s="308"/>
      <c r="CB10" s="308"/>
      <c r="CC10" s="308"/>
      <c r="CD10" s="308"/>
      <c r="CE10" s="308"/>
      <c r="CF10" s="308"/>
      <c r="CG10" s="308"/>
      <c r="CH10" s="308"/>
      <c r="CI10" s="308"/>
      <c r="CJ10" s="308"/>
      <c r="CK10" s="308"/>
      <c r="CL10" s="308"/>
      <c r="CM10" s="308"/>
      <c r="CN10" s="308"/>
      <c r="CO10" s="308"/>
      <c r="CP10" s="308"/>
      <c r="CQ10" s="308"/>
      <c r="CR10" s="308"/>
      <c r="CS10" s="308"/>
      <c r="CT10" s="308"/>
      <c r="CU10" s="308"/>
      <c r="CV10" s="308"/>
      <c r="CW10" s="308"/>
      <c r="CX10" s="308"/>
      <c r="CY10" s="308"/>
      <c r="CZ10" s="308"/>
      <c r="DA10" s="308"/>
      <c r="DB10" s="308"/>
      <c r="DC10" s="308"/>
      <c r="DD10" s="308"/>
      <c r="DE10" s="308"/>
      <c r="DF10" s="308"/>
      <c r="DG10" s="308"/>
      <c r="DH10" s="308"/>
      <c r="DI10" s="308"/>
      <c r="DJ10" s="308"/>
      <c r="DK10" s="308"/>
      <c r="DL10" s="308"/>
      <c r="DM10" s="311"/>
    </row>
    <row r="11" spans="1:117" ht="13.5" thickBot="1" x14ac:dyDescent="0.35">
      <c r="A11" s="312" t="s">
        <v>7</v>
      </c>
      <c r="B11" s="313">
        <f>SUM(B4:B10)</f>
        <v>20050000</v>
      </c>
      <c r="C11" s="314">
        <f>SUM(C4:C10)</f>
        <v>16050000</v>
      </c>
      <c r="D11" s="315">
        <f t="shared" si="3"/>
        <v>0.80049875311720697</v>
      </c>
      <c r="E11" s="316">
        <f>SUM(E4:E10)</f>
        <v>4050000</v>
      </c>
      <c r="F11" s="314">
        <f t="shared" ref="F11:BQ11" si="4">SUM(F4:F10)</f>
        <v>0</v>
      </c>
      <c r="G11" s="314">
        <f t="shared" si="4"/>
        <v>8000000</v>
      </c>
      <c r="H11" s="314">
        <f t="shared" si="4"/>
        <v>0</v>
      </c>
      <c r="I11" s="314">
        <f t="shared" si="4"/>
        <v>0</v>
      </c>
      <c r="J11" s="314">
        <f t="shared" si="4"/>
        <v>0</v>
      </c>
      <c r="K11" s="314">
        <f t="shared" si="4"/>
        <v>4000000</v>
      </c>
      <c r="L11" s="314">
        <f t="shared" si="4"/>
        <v>0</v>
      </c>
      <c r="M11" s="314">
        <f t="shared" si="4"/>
        <v>0</v>
      </c>
      <c r="N11" s="314">
        <f t="shared" si="4"/>
        <v>0</v>
      </c>
      <c r="O11" s="314">
        <f t="shared" si="4"/>
        <v>0</v>
      </c>
      <c r="P11" s="314">
        <f t="shared" si="4"/>
        <v>0</v>
      </c>
      <c r="Q11" s="314">
        <f t="shared" si="4"/>
        <v>0</v>
      </c>
      <c r="R11" s="314">
        <f t="shared" si="4"/>
        <v>0</v>
      </c>
      <c r="S11" s="314">
        <f t="shared" si="4"/>
        <v>0</v>
      </c>
      <c r="T11" s="314">
        <f t="shared" si="4"/>
        <v>0</v>
      </c>
      <c r="U11" s="314">
        <f t="shared" si="4"/>
        <v>0</v>
      </c>
      <c r="V11" s="314">
        <f t="shared" si="4"/>
        <v>0</v>
      </c>
      <c r="W11" s="314">
        <f t="shared" si="4"/>
        <v>0</v>
      </c>
      <c r="X11" s="314">
        <f t="shared" si="4"/>
        <v>0</v>
      </c>
      <c r="Y11" s="314">
        <f t="shared" si="4"/>
        <v>0</v>
      </c>
      <c r="Z11" s="314">
        <f t="shared" si="4"/>
        <v>0</v>
      </c>
      <c r="AA11" s="314">
        <f t="shared" si="4"/>
        <v>0</v>
      </c>
      <c r="AB11" s="314">
        <f t="shared" si="4"/>
        <v>0</v>
      </c>
      <c r="AC11" s="314">
        <f t="shared" si="4"/>
        <v>0</v>
      </c>
      <c r="AD11" s="314">
        <f t="shared" si="4"/>
        <v>0</v>
      </c>
      <c r="AE11" s="314">
        <f t="shared" si="4"/>
        <v>0</v>
      </c>
      <c r="AF11" s="314">
        <f t="shared" si="4"/>
        <v>0</v>
      </c>
      <c r="AG11" s="314">
        <f t="shared" si="4"/>
        <v>0</v>
      </c>
      <c r="AH11" s="314">
        <f t="shared" si="4"/>
        <v>0</v>
      </c>
      <c r="AI11" s="314">
        <f t="shared" si="4"/>
        <v>0</v>
      </c>
      <c r="AJ11" s="314">
        <f t="shared" si="4"/>
        <v>0</v>
      </c>
      <c r="AK11" s="314">
        <f t="shared" si="4"/>
        <v>0</v>
      </c>
      <c r="AL11" s="314">
        <f t="shared" si="4"/>
        <v>0</v>
      </c>
      <c r="AM11" s="314">
        <f t="shared" si="4"/>
        <v>0</v>
      </c>
      <c r="AN11" s="314">
        <f t="shared" si="4"/>
        <v>0</v>
      </c>
      <c r="AO11" s="314">
        <f t="shared" si="4"/>
        <v>0</v>
      </c>
      <c r="AP11" s="314">
        <f t="shared" si="4"/>
        <v>0</v>
      </c>
      <c r="AQ11" s="314">
        <f t="shared" si="4"/>
        <v>0</v>
      </c>
      <c r="AR11" s="314">
        <f t="shared" si="4"/>
        <v>0</v>
      </c>
      <c r="AS11" s="314">
        <f t="shared" si="4"/>
        <v>0</v>
      </c>
      <c r="AT11" s="314">
        <f t="shared" si="4"/>
        <v>0</v>
      </c>
      <c r="AU11" s="314">
        <f t="shared" si="4"/>
        <v>0</v>
      </c>
      <c r="AV11" s="314">
        <f t="shared" si="4"/>
        <v>0</v>
      </c>
      <c r="AW11" s="314">
        <f t="shared" si="4"/>
        <v>0</v>
      </c>
      <c r="AX11" s="314">
        <f t="shared" si="4"/>
        <v>0</v>
      </c>
      <c r="AY11" s="314">
        <f t="shared" si="4"/>
        <v>0</v>
      </c>
      <c r="AZ11" s="314">
        <f t="shared" si="4"/>
        <v>0</v>
      </c>
      <c r="BA11" s="314">
        <f t="shared" si="4"/>
        <v>0</v>
      </c>
      <c r="BB11" s="314">
        <f t="shared" si="4"/>
        <v>0</v>
      </c>
      <c r="BC11" s="314">
        <f t="shared" si="4"/>
        <v>0</v>
      </c>
      <c r="BD11" s="314">
        <f t="shared" si="4"/>
        <v>0</v>
      </c>
      <c r="BE11" s="314">
        <f t="shared" si="4"/>
        <v>0</v>
      </c>
      <c r="BF11" s="314">
        <f t="shared" si="4"/>
        <v>0</v>
      </c>
      <c r="BG11" s="314">
        <f t="shared" si="4"/>
        <v>0</v>
      </c>
      <c r="BH11" s="314">
        <f t="shared" si="4"/>
        <v>0</v>
      </c>
      <c r="BI11" s="314">
        <f t="shared" si="4"/>
        <v>0</v>
      </c>
      <c r="BJ11" s="314">
        <f t="shared" si="4"/>
        <v>0</v>
      </c>
      <c r="BK11" s="314">
        <f t="shared" si="4"/>
        <v>0</v>
      </c>
      <c r="BL11" s="314">
        <f t="shared" si="4"/>
        <v>0</v>
      </c>
      <c r="BM11" s="314">
        <f t="shared" si="4"/>
        <v>0</v>
      </c>
      <c r="BN11" s="314">
        <f t="shared" si="4"/>
        <v>0</v>
      </c>
      <c r="BO11" s="314">
        <f t="shared" si="4"/>
        <v>0</v>
      </c>
      <c r="BP11" s="314">
        <f t="shared" si="4"/>
        <v>0</v>
      </c>
      <c r="BQ11" s="314">
        <f t="shared" si="4"/>
        <v>0</v>
      </c>
      <c r="BR11" s="314">
        <f t="shared" ref="BR11:DM11" si="5">SUM(BR4:BR10)</f>
        <v>0</v>
      </c>
      <c r="BS11" s="314">
        <f t="shared" si="5"/>
        <v>0</v>
      </c>
      <c r="BT11" s="314">
        <f t="shared" si="5"/>
        <v>0</v>
      </c>
      <c r="BU11" s="314">
        <f t="shared" si="5"/>
        <v>0</v>
      </c>
      <c r="BV11" s="314">
        <f t="shared" si="5"/>
        <v>0</v>
      </c>
      <c r="BW11" s="314">
        <f t="shared" si="5"/>
        <v>0</v>
      </c>
      <c r="BX11" s="314">
        <f t="shared" si="5"/>
        <v>0</v>
      </c>
      <c r="BY11" s="314">
        <f t="shared" si="5"/>
        <v>0</v>
      </c>
      <c r="BZ11" s="314">
        <f t="shared" si="5"/>
        <v>0</v>
      </c>
      <c r="CA11" s="314">
        <f t="shared" si="5"/>
        <v>0</v>
      </c>
      <c r="CB11" s="314">
        <f t="shared" si="5"/>
        <v>0</v>
      </c>
      <c r="CC11" s="314">
        <f t="shared" si="5"/>
        <v>0</v>
      </c>
      <c r="CD11" s="314">
        <f t="shared" si="5"/>
        <v>0</v>
      </c>
      <c r="CE11" s="314">
        <f t="shared" si="5"/>
        <v>0</v>
      </c>
      <c r="CF11" s="314">
        <f t="shared" si="5"/>
        <v>0</v>
      </c>
      <c r="CG11" s="314">
        <f t="shared" si="5"/>
        <v>0</v>
      </c>
      <c r="CH11" s="314">
        <f t="shared" si="5"/>
        <v>0</v>
      </c>
      <c r="CI11" s="314">
        <f t="shared" si="5"/>
        <v>0</v>
      </c>
      <c r="CJ11" s="314">
        <f t="shared" si="5"/>
        <v>0</v>
      </c>
      <c r="CK11" s="314">
        <f t="shared" si="5"/>
        <v>0</v>
      </c>
      <c r="CL11" s="314">
        <f t="shared" si="5"/>
        <v>0</v>
      </c>
      <c r="CM11" s="314">
        <f t="shared" si="5"/>
        <v>0</v>
      </c>
      <c r="CN11" s="314">
        <f t="shared" si="5"/>
        <v>0</v>
      </c>
      <c r="CO11" s="314">
        <f t="shared" si="5"/>
        <v>0</v>
      </c>
      <c r="CP11" s="314">
        <f t="shared" si="5"/>
        <v>0</v>
      </c>
      <c r="CQ11" s="314">
        <f t="shared" si="5"/>
        <v>0</v>
      </c>
      <c r="CR11" s="314">
        <f t="shared" si="5"/>
        <v>0</v>
      </c>
      <c r="CS11" s="314">
        <f t="shared" si="5"/>
        <v>0</v>
      </c>
      <c r="CT11" s="314">
        <f t="shared" si="5"/>
        <v>0</v>
      </c>
      <c r="CU11" s="314">
        <f t="shared" si="5"/>
        <v>0</v>
      </c>
      <c r="CV11" s="314">
        <f t="shared" si="5"/>
        <v>0</v>
      </c>
      <c r="CW11" s="314">
        <f t="shared" si="5"/>
        <v>0</v>
      </c>
      <c r="CX11" s="314">
        <f t="shared" si="5"/>
        <v>0</v>
      </c>
      <c r="CY11" s="314">
        <f t="shared" si="5"/>
        <v>0</v>
      </c>
      <c r="CZ11" s="314">
        <f t="shared" si="5"/>
        <v>0</v>
      </c>
      <c r="DA11" s="314">
        <f t="shared" si="5"/>
        <v>0</v>
      </c>
      <c r="DB11" s="314">
        <f t="shared" si="5"/>
        <v>0</v>
      </c>
      <c r="DC11" s="314">
        <f t="shared" si="5"/>
        <v>0</v>
      </c>
      <c r="DD11" s="314">
        <f t="shared" si="5"/>
        <v>0</v>
      </c>
      <c r="DE11" s="314">
        <f t="shared" si="5"/>
        <v>0</v>
      </c>
      <c r="DF11" s="314">
        <f t="shared" si="5"/>
        <v>0</v>
      </c>
      <c r="DG11" s="314">
        <f t="shared" si="5"/>
        <v>0</v>
      </c>
      <c r="DH11" s="314">
        <f t="shared" si="5"/>
        <v>0</v>
      </c>
      <c r="DI11" s="314">
        <f t="shared" si="5"/>
        <v>0</v>
      </c>
      <c r="DJ11" s="314">
        <f t="shared" si="5"/>
        <v>0</v>
      </c>
      <c r="DK11" s="314">
        <f t="shared" si="5"/>
        <v>0</v>
      </c>
      <c r="DL11" s="314">
        <f t="shared" si="5"/>
        <v>0</v>
      </c>
      <c r="DM11" s="317">
        <f t="shared" si="5"/>
        <v>0</v>
      </c>
    </row>
    <row r="13" spans="1:117" ht="13" thickBot="1" x14ac:dyDescent="0.3"/>
    <row r="14" spans="1:117" ht="13" x14ac:dyDescent="0.3">
      <c r="A14" s="300" t="s">
        <v>304</v>
      </c>
      <c r="B14" s="301" t="s">
        <v>295</v>
      </c>
      <c r="C14" s="302" t="s">
        <v>296</v>
      </c>
      <c r="D14" s="303" t="s">
        <v>297</v>
      </c>
      <c r="E14" s="304">
        <v>44074</v>
      </c>
      <c r="F14" s="305">
        <f>EOMONTH(E14,1)</f>
        <v>44104</v>
      </c>
      <c r="G14" s="305">
        <f t="shared" ref="G14:BR14" si="6">EOMONTH(F14,1)</f>
        <v>44135</v>
      </c>
      <c r="H14" s="305">
        <f t="shared" si="6"/>
        <v>44165</v>
      </c>
      <c r="I14" s="305">
        <f t="shared" si="6"/>
        <v>44196</v>
      </c>
      <c r="J14" s="305">
        <f t="shared" si="6"/>
        <v>44227</v>
      </c>
      <c r="K14" s="305">
        <f t="shared" si="6"/>
        <v>44255</v>
      </c>
      <c r="L14" s="305">
        <f t="shared" si="6"/>
        <v>44286</v>
      </c>
      <c r="M14" s="305">
        <f t="shared" si="6"/>
        <v>44316</v>
      </c>
      <c r="N14" s="305">
        <f t="shared" si="6"/>
        <v>44347</v>
      </c>
      <c r="O14" s="305">
        <f t="shared" si="6"/>
        <v>44377</v>
      </c>
      <c r="P14" s="305">
        <f t="shared" si="6"/>
        <v>44408</v>
      </c>
      <c r="Q14" s="305">
        <f t="shared" si="6"/>
        <v>44439</v>
      </c>
      <c r="R14" s="305">
        <f t="shared" si="6"/>
        <v>44469</v>
      </c>
      <c r="S14" s="305">
        <f t="shared" si="6"/>
        <v>44500</v>
      </c>
      <c r="T14" s="305">
        <f t="shared" si="6"/>
        <v>44530</v>
      </c>
      <c r="U14" s="305">
        <f t="shared" si="6"/>
        <v>44561</v>
      </c>
      <c r="V14" s="305">
        <f t="shared" si="6"/>
        <v>44592</v>
      </c>
      <c r="W14" s="305">
        <f t="shared" si="6"/>
        <v>44620</v>
      </c>
      <c r="X14" s="305">
        <f t="shared" si="6"/>
        <v>44651</v>
      </c>
      <c r="Y14" s="305">
        <f t="shared" si="6"/>
        <v>44681</v>
      </c>
      <c r="Z14" s="305">
        <f t="shared" si="6"/>
        <v>44712</v>
      </c>
      <c r="AA14" s="305">
        <f t="shared" si="6"/>
        <v>44742</v>
      </c>
      <c r="AB14" s="305">
        <f t="shared" si="6"/>
        <v>44773</v>
      </c>
      <c r="AC14" s="305">
        <f t="shared" si="6"/>
        <v>44804</v>
      </c>
      <c r="AD14" s="305">
        <f t="shared" si="6"/>
        <v>44834</v>
      </c>
      <c r="AE14" s="305">
        <f t="shared" si="6"/>
        <v>44865</v>
      </c>
      <c r="AF14" s="305">
        <f t="shared" si="6"/>
        <v>44895</v>
      </c>
      <c r="AG14" s="305">
        <f t="shared" si="6"/>
        <v>44926</v>
      </c>
      <c r="AH14" s="305">
        <f t="shared" si="6"/>
        <v>44957</v>
      </c>
      <c r="AI14" s="305">
        <f t="shared" si="6"/>
        <v>44985</v>
      </c>
      <c r="AJ14" s="305">
        <f t="shared" si="6"/>
        <v>45016</v>
      </c>
      <c r="AK14" s="305">
        <f t="shared" si="6"/>
        <v>45046</v>
      </c>
      <c r="AL14" s="305">
        <f t="shared" si="6"/>
        <v>45077</v>
      </c>
      <c r="AM14" s="305">
        <f t="shared" si="6"/>
        <v>45107</v>
      </c>
      <c r="AN14" s="305">
        <f t="shared" si="6"/>
        <v>45138</v>
      </c>
      <c r="AO14" s="305">
        <f t="shared" si="6"/>
        <v>45169</v>
      </c>
      <c r="AP14" s="305">
        <f t="shared" si="6"/>
        <v>45199</v>
      </c>
      <c r="AQ14" s="305">
        <f t="shared" si="6"/>
        <v>45230</v>
      </c>
      <c r="AR14" s="305">
        <f t="shared" si="6"/>
        <v>45260</v>
      </c>
      <c r="AS14" s="305">
        <f t="shared" si="6"/>
        <v>45291</v>
      </c>
      <c r="AT14" s="305">
        <f t="shared" si="6"/>
        <v>45322</v>
      </c>
      <c r="AU14" s="305">
        <f t="shared" si="6"/>
        <v>45351</v>
      </c>
      <c r="AV14" s="305">
        <f t="shared" si="6"/>
        <v>45382</v>
      </c>
      <c r="AW14" s="305">
        <f t="shared" si="6"/>
        <v>45412</v>
      </c>
      <c r="AX14" s="305">
        <f t="shared" si="6"/>
        <v>45443</v>
      </c>
      <c r="AY14" s="305">
        <f t="shared" si="6"/>
        <v>45473</v>
      </c>
      <c r="AZ14" s="305">
        <f t="shared" si="6"/>
        <v>45504</v>
      </c>
      <c r="BA14" s="305">
        <f t="shared" si="6"/>
        <v>45535</v>
      </c>
      <c r="BB14" s="305">
        <f t="shared" si="6"/>
        <v>45565</v>
      </c>
      <c r="BC14" s="305">
        <f t="shared" si="6"/>
        <v>45596</v>
      </c>
      <c r="BD14" s="305">
        <f t="shared" si="6"/>
        <v>45626</v>
      </c>
      <c r="BE14" s="305">
        <f t="shared" si="6"/>
        <v>45657</v>
      </c>
      <c r="BF14" s="305">
        <f t="shared" si="6"/>
        <v>45688</v>
      </c>
      <c r="BG14" s="305">
        <f t="shared" si="6"/>
        <v>45716</v>
      </c>
      <c r="BH14" s="305">
        <f t="shared" si="6"/>
        <v>45747</v>
      </c>
      <c r="BI14" s="305">
        <f t="shared" si="6"/>
        <v>45777</v>
      </c>
      <c r="BJ14" s="305">
        <f t="shared" si="6"/>
        <v>45808</v>
      </c>
      <c r="BK14" s="305">
        <f t="shared" si="6"/>
        <v>45838</v>
      </c>
      <c r="BL14" s="305">
        <f t="shared" si="6"/>
        <v>45869</v>
      </c>
      <c r="BM14" s="305">
        <f t="shared" si="6"/>
        <v>45900</v>
      </c>
      <c r="BN14" s="305">
        <f t="shared" si="6"/>
        <v>45930</v>
      </c>
      <c r="BO14" s="305">
        <f t="shared" si="6"/>
        <v>45961</v>
      </c>
      <c r="BP14" s="305">
        <f t="shared" si="6"/>
        <v>45991</v>
      </c>
      <c r="BQ14" s="305">
        <f t="shared" si="6"/>
        <v>46022</v>
      </c>
      <c r="BR14" s="305">
        <f t="shared" si="6"/>
        <v>46053</v>
      </c>
      <c r="BS14" s="305">
        <f t="shared" ref="BS14:DM14" si="7">EOMONTH(BR14,1)</f>
        <v>46081</v>
      </c>
      <c r="BT14" s="305">
        <f t="shared" si="7"/>
        <v>46112</v>
      </c>
      <c r="BU14" s="305">
        <f t="shared" si="7"/>
        <v>46142</v>
      </c>
      <c r="BV14" s="305">
        <f t="shared" si="7"/>
        <v>46173</v>
      </c>
      <c r="BW14" s="305">
        <f t="shared" si="7"/>
        <v>46203</v>
      </c>
      <c r="BX14" s="305">
        <f t="shared" si="7"/>
        <v>46234</v>
      </c>
      <c r="BY14" s="305">
        <f t="shared" si="7"/>
        <v>46265</v>
      </c>
      <c r="BZ14" s="305">
        <f t="shared" si="7"/>
        <v>46295</v>
      </c>
      <c r="CA14" s="305">
        <f t="shared" si="7"/>
        <v>46326</v>
      </c>
      <c r="CB14" s="305">
        <f t="shared" si="7"/>
        <v>46356</v>
      </c>
      <c r="CC14" s="305">
        <f t="shared" si="7"/>
        <v>46387</v>
      </c>
      <c r="CD14" s="305">
        <f t="shared" si="7"/>
        <v>46418</v>
      </c>
      <c r="CE14" s="305">
        <f t="shared" si="7"/>
        <v>46446</v>
      </c>
      <c r="CF14" s="305">
        <f t="shared" si="7"/>
        <v>46477</v>
      </c>
      <c r="CG14" s="305">
        <f t="shared" si="7"/>
        <v>46507</v>
      </c>
      <c r="CH14" s="305">
        <f t="shared" si="7"/>
        <v>46538</v>
      </c>
      <c r="CI14" s="305">
        <f t="shared" si="7"/>
        <v>46568</v>
      </c>
      <c r="CJ14" s="305">
        <f t="shared" si="7"/>
        <v>46599</v>
      </c>
      <c r="CK14" s="305">
        <f t="shared" si="7"/>
        <v>46630</v>
      </c>
      <c r="CL14" s="305">
        <f t="shared" si="7"/>
        <v>46660</v>
      </c>
      <c r="CM14" s="305">
        <f t="shared" si="7"/>
        <v>46691</v>
      </c>
      <c r="CN14" s="305">
        <f t="shared" si="7"/>
        <v>46721</v>
      </c>
      <c r="CO14" s="305">
        <f t="shared" si="7"/>
        <v>46752</v>
      </c>
      <c r="CP14" s="305">
        <f t="shared" si="7"/>
        <v>46783</v>
      </c>
      <c r="CQ14" s="305">
        <f t="shared" si="7"/>
        <v>46812</v>
      </c>
      <c r="CR14" s="305">
        <f t="shared" si="7"/>
        <v>46843</v>
      </c>
      <c r="CS14" s="305">
        <f t="shared" si="7"/>
        <v>46873</v>
      </c>
      <c r="CT14" s="305">
        <f t="shared" si="7"/>
        <v>46904</v>
      </c>
      <c r="CU14" s="305">
        <f t="shared" si="7"/>
        <v>46934</v>
      </c>
      <c r="CV14" s="305">
        <f t="shared" si="7"/>
        <v>46965</v>
      </c>
      <c r="CW14" s="305">
        <f t="shared" si="7"/>
        <v>46996</v>
      </c>
      <c r="CX14" s="305">
        <f t="shared" si="7"/>
        <v>47026</v>
      </c>
      <c r="CY14" s="305">
        <f t="shared" si="7"/>
        <v>47057</v>
      </c>
      <c r="CZ14" s="305">
        <f t="shared" si="7"/>
        <v>47087</v>
      </c>
      <c r="DA14" s="305">
        <f t="shared" si="7"/>
        <v>47118</v>
      </c>
      <c r="DB14" s="305">
        <f t="shared" si="7"/>
        <v>47149</v>
      </c>
      <c r="DC14" s="305">
        <f t="shared" si="7"/>
        <v>47177</v>
      </c>
      <c r="DD14" s="305">
        <f t="shared" si="7"/>
        <v>47208</v>
      </c>
      <c r="DE14" s="305">
        <f t="shared" si="7"/>
        <v>47238</v>
      </c>
      <c r="DF14" s="305">
        <f t="shared" si="7"/>
        <v>47269</v>
      </c>
      <c r="DG14" s="305">
        <f t="shared" si="7"/>
        <v>47299</v>
      </c>
      <c r="DH14" s="305">
        <f t="shared" si="7"/>
        <v>47330</v>
      </c>
      <c r="DI14" s="305">
        <f t="shared" si="7"/>
        <v>47361</v>
      </c>
      <c r="DJ14" s="305">
        <f t="shared" si="7"/>
        <v>47391</v>
      </c>
      <c r="DK14" s="305">
        <f t="shared" si="7"/>
        <v>47422</v>
      </c>
      <c r="DL14" s="305">
        <f t="shared" si="7"/>
        <v>47452</v>
      </c>
      <c r="DM14" s="305">
        <f t="shared" si="7"/>
        <v>47483</v>
      </c>
    </row>
    <row r="15" spans="1:117" x14ac:dyDescent="0.25">
      <c r="A15" s="306" t="s">
        <v>136</v>
      </c>
      <c r="B15" s="307">
        <v>6000000</v>
      </c>
      <c r="C15" s="308">
        <f>SUM(E15:DM15)</f>
        <v>5000000</v>
      </c>
      <c r="D15" s="309">
        <f>IFERROR(C15/B15,0)</f>
        <v>0.83333333333333337</v>
      </c>
      <c r="E15" s="307"/>
      <c r="F15" s="318"/>
      <c r="G15" s="318"/>
      <c r="H15" s="318"/>
      <c r="I15" s="318">
        <v>5000000</v>
      </c>
      <c r="J15" s="318"/>
      <c r="K15" s="318"/>
      <c r="L15" s="318"/>
      <c r="M15" s="318"/>
      <c r="N15" s="318"/>
      <c r="O15" s="318"/>
      <c r="P15" s="318"/>
      <c r="Q15" s="318"/>
      <c r="R15" s="318"/>
      <c r="S15" s="318"/>
      <c r="T15" s="318"/>
      <c r="U15" s="318"/>
      <c r="V15" s="318"/>
      <c r="W15" s="318"/>
      <c r="X15" s="318"/>
      <c r="Y15" s="318"/>
      <c r="Z15" s="318"/>
      <c r="AA15" s="318"/>
      <c r="AB15" s="318"/>
      <c r="AC15" s="318"/>
      <c r="AD15" s="318"/>
      <c r="AE15" s="318"/>
      <c r="AF15" s="318"/>
      <c r="AG15" s="318"/>
      <c r="AH15" s="318"/>
      <c r="AI15" s="318"/>
      <c r="AJ15" s="318"/>
      <c r="AK15" s="318"/>
      <c r="AL15" s="318"/>
      <c r="AM15" s="318"/>
      <c r="AN15" s="318"/>
      <c r="AO15" s="318"/>
      <c r="AP15" s="318"/>
      <c r="AQ15" s="318"/>
      <c r="AR15" s="318"/>
      <c r="AS15" s="318"/>
      <c r="AT15" s="318"/>
      <c r="AU15" s="318"/>
      <c r="AV15" s="318"/>
      <c r="AW15" s="318"/>
      <c r="AX15" s="318"/>
      <c r="AY15" s="318"/>
      <c r="AZ15" s="318"/>
      <c r="BA15" s="318"/>
      <c r="BB15" s="318"/>
      <c r="BC15" s="318"/>
      <c r="BD15" s="318"/>
      <c r="BE15" s="318"/>
      <c r="BF15" s="318"/>
      <c r="BG15" s="318"/>
      <c r="BH15" s="318"/>
      <c r="BI15" s="318"/>
      <c r="BJ15" s="318"/>
      <c r="BK15" s="318"/>
      <c r="BL15" s="318"/>
      <c r="BM15" s="318"/>
      <c r="BN15" s="318"/>
      <c r="BO15" s="318"/>
      <c r="BP15" s="318"/>
      <c r="BQ15" s="318"/>
      <c r="BR15" s="318"/>
      <c r="BS15" s="318"/>
      <c r="BT15" s="318"/>
      <c r="BU15" s="318"/>
      <c r="BV15" s="318"/>
      <c r="BW15" s="318"/>
      <c r="BX15" s="318"/>
      <c r="BY15" s="318"/>
      <c r="BZ15" s="318"/>
      <c r="CA15" s="318"/>
      <c r="CB15" s="318"/>
      <c r="CC15" s="318"/>
      <c r="CD15" s="318"/>
      <c r="CE15" s="318"/>
      <c r="CF15" s="318"/>
      <c r="CG15" s="318"/>
      <c r="CH15" s="318"/>
      <c r="CI15" s="318"/>
      <c r="CJ15" s="318"/>
      <c r="CK15" s="318"/>
      <c r="CL15" s="318"/>
      <c r="CM15" s="318"/>
      <c r="CN15" s="318"/>
      <c r="CO15" s="318"/>
      <c r="CP15" s="318"/>
      <c r="CQ15" s="318"/>
      <c r="CR15" s="318"/>
      <c r="CS15" s="318"/>
      <c r="CT15" s="318"/>
      <c r="CU15" s="318"/>
      <c r="CV15" s="318"/>
      <c r="CW15" s="318"/>
      <c r="CX15" s="318"/>
      <c r="CY15" s="318"/>
      <c r="CZ15" s="318"/>
      <c r="DA15" s="318"/>
      <c r="DB15" s="318"/>
      <c r="DC15" s="318"/>
      <c r="DD15" s="318"/>
      <c r="DE15" s="318"/>
      <c r="DF15" s="318"/>
      <c r="DG15" s="318"/>
      <c r="DH15" s="318"/>
      <c r="DI15" s="318"/>
      <c r="DJ15" s="318"/>
      <c r="DK15" s="318"/>
      <c r="DL15" s="318"/>
      <c r="DM15" s="319"/>
    </row>
    <row r="16" spans="1:117" x14ac:dyDescent="0.25">
      <c r="A16" s="306" t="s">
        <v>299</v>
      </c>
      <c r="B16" s="307">
        <v>6000000</v>
      </c>
      <c r="C16" s="308">
        <f t="shared" ref="C16:C22" si="8">SUM(E16:DM16)</f>
        <v>5000000</v>
      </c>
      <c r="D16" s="309">
        <f t="shared" ref="D16:D22" si="9">IFERROR(C16/B16,0)</f>
        <v>0.83333333333333337</v>
      </c>
      <c r="E16" s="307"/>
      <c r="F16" s="318"/>
      <c r="G16" s="318"/>
      <c r="H16" s="318"/>
      <c r="I16" s="318">
        <v>5000000</v>
      </c>
      <c r="J16" s="318"/>
      <c r="K16" s="318"/>
      <c r="L16" s="318"/>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c r="BB16" s="318"/>
      <c r="BC16" s="318"/>
      <c r="BD16" s="318"/>
      <c r="BE16" s="318"/>
      <c r="BF16" s="318"/>
      <c r="BG16" s="318"/>
      <c r="BH16" s="318"/>
      <c r="BI16" s="318"/>
      <c r="BJ16" s="318"/>
      <c r="BK16" s="318"/>
      <c r="BL16" s="318"/>
      <c r="BM16" s="318"/>
      <c r="BN16" s="318"/>
      <c r="BO16" s="318"/>
      <c r="BP16" s="318"/>
      <c r="BQ16" s="318"/>
      <c r="BR16" s="318"/>
      <c r="BS16" s="318"/>
      <c r="BT16" s="318"/>
      <c r="BU16" s="318"/>
      <c r="BV16" s="318"/>
      <c r="BW16" s="318"/>
      <c r="BX16" s="318"/>
      <c r="BY16" s="318"/>
      <c r="BZ16" s="318"/>
      <c r="CA16" s="318"/>
      <c r="CB16" s="318"/>
      <c r="CC16" s="318"/>
      <c r="CD16" s="318"/>
      <c r="CE16" s="318"/>
      <c r="CF16" s="318"/>
      <c r="CG16" s="318"/>
      <c r="CH16" s="318"/>
      <c r="CI16" s="318"/>
      <c r="CJ16" s="318"/>
      <c r="CK16" s="318"/>
      <c r="CL16" s="318"/>
      <c r="CM16" s="318"/>
      <c r="CN16" s="318"/>
      <c r="CO16" s="318"/>
      <c r="CP16" s="318"/>
      <c r="CQ16" s="318"/>
      <c r="CR16" s="318"/>
      <c r="CS16" s="318"/>
      <c r="CT16" s="318"/>
      <c r="CU16" s="318"/>
      <c r="CV16" s="318"/>
      <c r="CW16" s="318"/>
      <c r="CX16" s="318"/>
      <c r="CY16" s="318"/>
      <c r="CZ16" s="318"/>
      <c r="DA16" s="318"/>
      <c r="DB16" s="318"/>
      <c r="DC16" s="318"/>
      <c r="DD16" s="318"/>
      <c r="DE16" s="318"/>
      <c r="DF16" s="318"/>
      <c r="DG16" s="318"/>
      <c r="DH16" s="318"/>
      <c r="DI16" s="318"/>
      <c r="DJ16" s="318"/>
      <c r="DK16" s="318"/>
      <c r="DL16" s="318"/>
      <c r="DM16" s="319"/>
    </row>
    <row r="17" spans="1:117" x14ac:dyDescent="0.25">
      <c r="A17" s="306" t="s">
        <v>148</v>
      </c>
      <c r="B17" s="307">
        <v>20000000</v>
      </c>
      <c r="C17" s="308">
        <f t="shared" si="8"/>
        <v>8090000</v>
      </c>
      <c r="D17" s="309">
        <f t="shared" si="9"/>
        <v>0.40450000000000003</v>
      </c>
      <c r="E17" s="307"/>
      <c r="F17" s="318"/>
      <c r="G17" s="318"/>
      <c r="H17" s="318"/>
      <c r="I17" s="318"/>
      <c r="J17" s="318">
        <v>0</v>
      </c>
      <c r="K17" s="318"/>
      <c r="L17" s="318">
        <v>8090000</v>
      </c>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c r="BB17" s="318"/>
      <c r="BC17" s="318"/>
      <c r="BD17" s="318"/>
      <c r="BE17" s="318"/>
      <c r="BF17" s="318"/>
      <c r="BG17" s="318"/>
      <c r="BH17" s="318"/>
      <c r="BI17" s="318"/>
      <c r="BJ17" s="318"/>
      <c r="BK17" s="318"/>
      <c r="BL17" s="318"/>
      <c r="BM17" s="318"/>
      <c r="BN17" s="318"/>
      <c r="BO17" s="318"/>
      <c r="BP17" s="318"/>
      <c r="BQ17" s="318"/>
      <c r="BR17" s="318"/>
      <c r="BS17" s="318"/>
      <c r="BT17" s="318"/>
      <c r="BU17" s="318"/>
      <c r="BV17" s="318"/>
      <c r="BW17" s="318"/>
      <c r="BX17" s="318"/>
      <c r="BY17" s="318"/>
      <c r="BZ17" s="318"/>
      <c r="CA17" s="318"/>
      <c r="CB17" s="318"/>
      <c r="CC17" s="318"/>
      <c r="CD17" s="318"/>
      <c r="CE17" s="318"/>
      <c r="CF17" s="318"/>
      <c r="CG17" s="318"/>
      <c r="CH17" s="318"/>
      <c r="CI17" s="318"/>
      <c r="CJ17" s="318"/>
      <c r="CK17" s="318"/>
      <c r="CL17" s="318"/>
      <c r="CM17" s="318"/>
      <c r="CN17" s="318"/>
      <c r="CO17" s="318"/>
      <c r="CP17" s="318"/>
      <c r="CQ17" s="318"/>
      <c r="CR17" s="318"/>
      <c r="CS17" s="318"/>
      <c r="CT17" s="318"/>
      <c r="CU17" s="318"/>
      <c r="CV17" s="318"/>
      <c r="CW17" s="318"/>
      <c r="CX17" s="318"/>
      <c r="CY17" s="318"/>
      <c r="CZ17" s="318"/>
      <c r="DA17" s="318"/>
      <c r="DB17" s="318"/>
      <c r="DC17" s="318"/>
      <c r="DD17" s="318"/>
      <c r="DE17" s="318"/>
      <c r="DF17" s="318"/>
      <c r="DG17" s="318"/>
      <c r="DH17" s="318"/>
      <c r="DI17" s="318"/>
      <c r="DJ17" s="318"/>
      <c r="DK17" s="318"/>
      <c r="DL17" s="318"/>
      <c r="DM17" s="319"/>
    </row>
    <row r="18" spans="1:117" x14ac:dyDescent="0.25">
      <c r="A18" s="306" t="s">
        <v>138</v>
      </c>
      <c r="B18" s="307">
        <v>20000000</v>
      </c>
      <c r="C18" s="308">
        <f t="shared" si="8"/>
        <v>7000000</v>
      </c>
      <c r="D18" s="309">
        <f t="shared" si="9"/>
        <v>0.35</v>
      </c>
      <c r="E18" s="307"/>
      <c r="F18" s="318"/>
      <c r="G18" s="318"/>
      <c r="H18" s="318"/>
      <c r="I18" s="318"/>
      <c r="J18" s="318"/>
      <c r="K18" s="318"/>
      <c r="L18" s="318"/>
      <c r="M18" s="318">
        <v>7000000</v>
      </c>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c r="BB18" s="318"/>
      <c r="BC18" s="318"/>
      <c r="BD18" s="318"/>
      <c r="BE18" s="318"/>
      <c r="BF18" s="318"/>
      <c r="BG18" s="318"/>
      <c r="BH18" s="318"/>
      <c r="BI18" s="318"/>
      <c r="BJ18" s="318"/>
      <c r="BK18" s="318"/>
      <c r="BL18" s="318"/>
      <c r="BM18" s="318"/>
      <c r="BN18" s="318"/>
      <c r="BO18" s="318"/>
      <c r="BP18" s="318"/>
      <c r="BQ18" s="318"/>
      <c r="BR18" s="318"/>
      <c r="BS18" s="318"/>
      <c r="BT18" s="318"/>
      <c r="BU18" s="318"/>
      <c r="BV18" s="318"/>
      <c r="BW18" s="318"/>
      <c r="BX18" s="318"/>
      <c r="BY18" s="318"/>
      <c r="BZ18" s="318"/>
      <c r="CA18" s="318"/>
      <c r="CB18" s="318"/>
      <c r="CC18" s="318"/>
      <c r="CD18" s="318"/>
      <c r="CE18" s="318"/>
      <c r="CF18" s="318"/>
      <c r="CG18" s="318"/>
      <c r="CH18" s="318"/>
      <c r="CI18" s="318"/>
      <c r="CJ18" s="318"/>
      <c r="CK18" s="318"/>
      <c r="CL18" s="318"/>
      <c r="CM18" s="318"/>
      <c r="CN18" s="318"/>
      <c r="CO18" s="318"/>
      <c r="CP18" s="318"/>
      <c r="CQ18" s="318"/>
      <c r="CR18" s="318"/>
      <c r="CS18" s="318"/>
      <c r="CT18" s="318"/>
      <c r="CU18" s="318"/>
      <c r="CV18" s="318"/>
      <c r="CW18" s="318"/>
      <c r="CX18" s="318"/>
      <c r="CY18" s="318"/>
      <c r="CZ18" s="318"/>
      <c r="DA18" s="318"/>
      <c r="DB18" s="318"/>
      <c r="DC18" s="318"/>
      <c r="DD18" s="318"/>
      <c r="DE18" s="318"/>
      <c r="DF18" s="318"/>
      <c r="DG18" s="318"/>
      <c r="DH18" s="318"/>
      <c r="DI18" s="318"/>
      <c r="DJ18" s="318"/>
      <c r="DK18" s="318"/>
      <c r="DL18" s="318"/>
      <c r="DM18" s="319"/>
    </row>
    <row r="19" spans="1:117" x14ac:dyDescent="0.25">
      <c r="A19" s="306" t="s">
        <v>301</v>
      </c>
      <c r="B19" s="307">
        <v>3000000</v>
      </c>
      <c r="C19" s="308">
        <f t="shared" si="8"/>
        <v>3000000</v>
      </c>
      <c r="D19" s="309">
        <f t="shared" si="9"/>
        <v>1</v>
      </c>
      <c r="E19" s="307"/>
      <c r="F19" s="318"/>
      <c r="G19" s="318"/>
      <c r="H19" s="318"/>
      <c r="I19" s="318">
        <v>3000000</v>
      </c>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c r="BB19" s="318"/>
      <c r="BC19" s="318"/>
      <c r="BD19" s="318"/>
      <c r="BE19" s="318"/>
      <c r="BF19" s="318"/>
      <c r="BG19" s="318"/>
      <c r="BH19" s="318"/>
      <c r="BI19" s="318"/>
      <c r="BJ19" s="318"/>
      <c r="BK19" s="318"/>
      <c r="BL19" s="318"/>
      <c r="BM19" s="318"/>
      <c r="BN19" s="318"/>
      <c r="BO19" s="318"/>
      <c r="BP19" s="318"/>
      <c r="BQ19" s="318"/>
      <c r="BR19" s="318"/>
      <c r="BS19" s="318"/>
      <c r="BT19" s="318"/>
      <c r="BU19" s="318"/>
      <c r="BV19" s="318"/>
      <c r="BW19" s="318"/>
      <c r="BX19" s="318"/>
      <c r="BY19" s="318"/>
      <c r="BZ19" s="318"/>
      <c r="CA19" s="318"/>
      <c r="CB19" s="318"/>
      <c r="CC19" s="318"/>
      <c r="CD19" s="318"/>
      <c r="CE19" s="318"/>
      <c r="CF19" s="318"/>
      <c r="CG19" s="318"/>
      <c r="CH19" s="318"/>
      <c r="CI19" s="318"/>
      <c r="CJ19" s="318"/>
      <c r="CK19" s="318"/>
      <c r="CL19" s="318"/>
      <c r="CM19" s="318"/>
      <c r="CN19" s="318"/>
      <c r="CO19" s="318"/>
      <c r="CP19" s="318"/>
      <c r="CQ19" s="318"/>
      <c r="CR19" s="318"/>
      <c r="CS19" s="318"/>
      <c r="CT19" s="318"/>
      <c r="CU19" s="318"/>
      <c r="CV19" s="318"/>
      <c r="CW19" s="318"/>
      <c r="CX19" s="318"/>
      <c r="CY19" s="318"/>
      <c r="CZ19" s="318"/>
      <c r="DA19" s="318"/>
      <c r="DB19" s="318"/>
      <c r="DC19" s="318"/>
      <c r="DD19" s="318"/>
      <c r="DE19" s="318"/>
      <c r="DF19" s="318"/>
      <c r="DG19" s="318"/>
      <c r="DH19" s="318"/>
      <c r="DI19" s="318"/>
      <c r="DJ19" s="318"/>
      <c r="DK19" s="318"/>
      <c r="DL19" s="318"/>
      <c r="DM19" s="319"/>
    </row>
    <row r="20" spans="1:117" x14ac:dyDescent="0.25">
      <c r="A20" s="306" t="s">
        <v>305</v>
      </c>
      <c r="B20" s="307">
        <v>7600000</v>
      </c>
      <c r="C20" s="308">
        <f t="shared" si="8"/>
        <v>1800000</v>
      </c>
      <c r="D20" s="309">
        <f t="shared" si="9"/>
        <v>0.23684210526315788</v>
      </c>
      <c r="E20" s="307"/>
      <c r="F20" s="318"/>
      <c r="G20" s="318"/>
      <c r="H20" s="318"/>
      <c r="I20" s="318"/>
      <c r="J20" s="318"/>
      <c r="K20" s="318"/>
      <c r="L20" s="318"/>
      <c r="M20" s="318">
        <v>1800000</v>
      </c>
      <c r="N20" s="318"/>
      <c r="O20" s="318"/>
      <c r="P20" s="318"/>
      <c r="Q20" s="318"/>
      <c r="R20" s="318"/>
      <c r="S20" s="318"/>
      <c r="T20" s="318"/>
      <c r="U20" s="318"/>
      <c r="V20" s="318"/>
      <c r="W20" s="318"/>
      <c r="X20" s="318"/>
      <c r="Y20" s="318"/>
      <c r="Z20" s="318"/>
      <c r="AA20" s="318"/>
      <c r="AB20" s="318"/>
      <c r="AC20" s="318"/>
      <c r="AD20" s="318"/>
      <c r="AE20" s="318"/>
      <c r="AF20" s="318"/>
      <c r="AG20" s="318"/>
      <c r="AH20" s="318"/>
      <c r="AI20" s="318"/>
      <c r="AJ20" s="318"/>
      <c r="AK20" s="318"/>
      <c r="AL20" s="318"/>
      <c r="AM20" s="318"/>
      <c r="AN20" s="318"/>
      <c r="AO20" s="318"/>
      <c r="AP20" s="318"/>
      <c r="AQ20" s="318"/>
      <c r="AR20" s="318"/>
      <c r="AS20" s="318"/>
      <c r="AT20" s="318"/>
      <c r="AU20" s="318"/>
      <c r="AV20" s="318"/>
      <c r="AW20" s="318"/>
      <c r="AX20" s="318"/>
      <c r="AY20" s="318"/>
      <c r="AZ20" s="318"/>
      <c r="BA20" s="318"/>
      <c r="BB20" s="318"/>
      <c r="BC20" s="318"/>
      <c r="BD20" s="318"/>
      <c r="BE20" s="318"/>
      <c r="BF20" s="318"/>
      <c r="BG20" s="318"/>
      <c r="BH20" s="318"/>
      <c r="BI20" s="318"/>
      <c r="BJ20" s="318"/>
      <c r="BK20" s="318"/>
      <c r="BL20" s="318"/>
      <c r="BM20" s="318"/>
      <c r="BN20" s="318"/>
      <c r="BO20" s="318"/>
      <c r="BP20" s="318"/>
      <c r="BQ20" s="318"/>
      <c r="BR20" s="318"/>
      <c r="BS20" s="318"/>
      <c r="BT20" s="318"/>
      <c r="BU20" s="318"/>
      <c r="BV20" s="318"/>
      <c r="BW20" s="318"/>
      <c r="BX20" s="318"/>
      <c r="BY20" s="318"/>
      <c r="BZ20" s="318"/>
      <c r="CA20" s="318"/>
      <c r="CB20" s="318"/>
      <c r="CC20" s="318"/>
      <c r="CD20" s="318"/>
      <c r="CE20" s="318"/>
      <c r="CF20" s="318"/>
      <c r="CG20" s="318"/>
      <c r="CH20" s="318"/>
      <c r="CI20" s="318"/>
      <c r="CJ20" s="318"/>
      <c r="CK20" s="318"/>
      <c r="CL20" s="318"/>
      <c r="CM20" s="318"/>
      <c r="CN20" s="318"/>
      <c r="CO20" s="318"/>
      <c r="CP20" s="318"/>
      <c r="CQ20" s="318"/>
      <c r="CR20" s="318"/>
      <c r="CS20" s="318"/>
      <c r="CT20" s="318"/>
      <c r="CU20" s="318"/>
      <c r="CV20" s="318"/>
      <c r="CW20" s="318"/>
      <c r="CX20" s="318"/>
      <c r="CY20" s="318"/>
      <c r="CZ20" s="318"/>
      <c r="DA20" s="318"/>
      <c r="DB20" s="318"/>
      <c r="DC20" s="318"/>
      <c r="DD20" s="318"/>
      <c r="DE20" s="318"/>
      <c r="DF20" s="318"/>
      <c r="DG20" s="318"/>
      <c r="DH20" s="318"/>
      <c r="DI20" s="318"/>
      <c r="DJ20" s="318"/>
      <c r="DK20" s="318"/>
      <c r="DL20" s="318"/>
      <c r="DM20" s="319"/>
    </row>
    <row r="21" spans="1:117" x14ac:dyDescent="0.25">
      <c r="A21" s="306" t="s">
        <v>306</v>
      </c>
      <c r="B21" s="307">
        <v>0</v>
      </c>
      <c r="C21" s="308">
        <f t="shared" si="8"/>
        <v>0</v>
      </c>
      <c r="D21" s="309">
        <f t="shared" si="9"/>
        <v>0</v>
      </c>
      <c r="E21" s="307"/>
      <c r="F21" s="318"/>
      <c r="G21" s="318"/>
      <c r="H21" s="318"/>
      <c r="I21" s="318"/>
      <c r="J21" s="318"/>
      <c r="K21" s="318"/>
      <c r="L21" s="318"/>
      <c r="M21" s="318"/>
      <c r="N21" s="318"/>
      <c r="O21" s="318"/>
      <c r="P21" s="318"/>
      <c r="Q21" s="318"/>
      <c r="R21" s="318"/>
      <c r="S21" s="318"/>
      <c r="T21" s="318"/>
      <c r="U21" s="318"/>
      <c r="V21" s="318"/>
      <c r="W21" s="318"/>
      <c r="X21" s="318"/>
      <c r="Y21" s="318"/>
      <c r="Z21" s="318"/>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c r="BB21" s="318"/>
      <c r="BC21" s="318"/>
      <c r="BD21" s="318"/>
      <c r="BE21" s="318"/>
      <c r="BF21" s="318"/>
      <c r="BG21" s="318"/>
      <c r="BH21" s="318"/>
      <c r="BI21" s="318"/>
      <c r="BJ21" s="318"/>
      <c r="BK21" s="318"/>
      <c r="BL21" s="318"/>
      <c r="BM21" s="318"/>
      <c r="BN21" s="318"/>
      <c r="BO21" s="318"/>
      <c r="BP21" s="318"/>
      <c r="BQ21" s="318"/>
      <c r="BR21" s="318"/>
      <c r="BS21" s="318"/>
      <c r="BT21" s="318"/>
      <c r="BU21" s="318"/>
      <c r="BV21" s="318"/>
      <c r="BW21" s="318"/>
      <c r="BX21" s="318"/>
      <c r="BY21" s="318"/>
      <c r="BZ21" s="318"/>
      <c r="CA21" s="318"/>
      <c r="CB21" s="318"/>
      <c r="CC21" s="318"/>
      <c r="CD21" s="318"/>
      <c r="CE21" s="318"/>
      <c r="CF21" s="318"/>
      <c r="CG21" s="318"/>
      <c r="CH21" s="318"/>
      <c r="CI21" s="318"/>
      <c r="CJ21" s="318"/>
      <c r="CK21" s="318"/>
      <c r="CL21" s="318"/>
      <c r="CM21" s="318"/>
      <c r="CN21" s="318"/>
      <c r="CO21" s="318"/>
      <c r="CP21" s="318"/>
      <c r="CQ21" s="318"/>
      <c r="CR21" s="318"/>
      <c r="CS21" s="318"/>
      <c r="CT21" s="318"/>
      <c r="CU21" s="318"/>
      <c r="CV21" s="318"/>
      <c r="CW21" s="318"/>
      <c r="CX21" s="318"/>
      <c r="CY21" s="318"/>
      <c r="CZ21" s="318"/>
      <c r="DA21" s="318"/>
      <c r="DB21" s="318"/>
      <c r="DC21" s="318"/>
      <c r="DD21" s="318"/>
      <c r="DE21" s="318"/>
      <c r="DF21" s="318"/>
      <c r="DG21" s="318"/>
      <c r="DH21" s="318"/>
      <c r="DI21" s="318"/>
      <c r="DJ21" s="318"/>
      <c r="DK21" s="318"/>
      <c r="DL21" s="318"/>
      <c r="DM21" s="319"/>
    </row>
    <row r="22" spans="1:117" x14ac:dyDescent="0.25">
      <c r="A22" s="306" t="s">
        <v>307</v>
      </c>
      <c r="B22" s="307">
        <v>0</v>
      </c>
      <c r="C22" s="308">
        <f t="shared" si="8"/>
        <v>0</v>
      </c>
      <c r="D22" s="309">
        <f t="shared" si="9"/>
        <v>0</v>
      </c>
      <c r="E22" s="307"/>
      <c r="F22" s="318"/>
      <c r="G22" s="318"/>
      <c r="H22" s="318"/>
      <c r="I22" s="318"/>
      <c r="J22" s="318"/>
      <c r="K22" s="318"/>
      <c r="L22" s="318"/>
      <c r="M22" s="318"/>
      <c r="N22" s="318"/>
      <c r="O22" s="318"/>
      <c r="P22" s="318"/>
      <c r="Q22" s="318"/>
      <c r="R22" s="318"/>
      <c r="S22" s="318"/>
      <c r="T22" s="318"/>
      <c r="U22" s="318"/>
      <c r="V22" s="318"/>
      <c r="W22" s="318"/>
      <c r="X22" s="318"/>
      <c r="Y22" s="318"/>
      <c r="Z22" s="318"/>
      <c r="AA22" s="318"/>
      <c r="AB22" s="318"/>
      <c r="AC22" s="318"/>
      <c r="AD22" s="318"/>
      <c r="AE22" s="318"/>
      <c r="AF22" s="318"/>
      <c r="AG22" s="318"/>
      <c r="AH22" s="318"/>
      <c r="AI22" s="318"/>
      <c r="AJ22" s="318"/>
      <c r="AK22" s="318"/>
      <c r="AL22" s="318"/>
      <c r="AM22" s="318"/>
      <c r="AN22" s="318"/>
      <c r="AO22" s="318"/>
      <c r="AP22" s="318"/>
      <c r="AQ22" s="318"/>
      <c r="AR22" s="318"/>
      <c r="AS22" s="318"/>
      <c r="AT22" s="318"/>
      <c r="AU22" s="318"/>
      <c r="AV22" s="318"/>
      <c r="AW22" s="318"/>
      <c r="AX22" s="318"/>
      <c r="AY22" s="318"/>
      <c r="AZ22" s="318"/>
      <c r="BA22" s="318"/>
      <c r="BB22" s="318"/>
      <c r="BC22" s="318"/>
      <c r="BD22" s="318"/>
      <c r="BE22" s="318"/>
      <c r="BF22" s="318"/>
      <c r="BG22" s="318"/>
      <c r="BH22" s="318"/>
      <c r="BI22" s="318"/>
      <c r="BJ22" s="318"/>
      <c r="BK22" s="318"/>
      <c r="BL22" s="318"/>
      <c r="BM22" s="318"/>
      <c r="BN22" s="318"/>
      <c r="BO22" s="318"/>
      <c r="BP22" s="318"/>
      <c r="BQ22" s="318"/>
      <c r="BR22" s="318"/>
      <c r="BS22" s="318"/>
      <c r="BT22" s="318"/>
      <c r="BU22" s="318"/>
      <c r="BV22" s="318"/>
      <c r="BW22" s="318"/>
      <c r="BX22" s="318"/>
      <c r="BY22" s="318"/>
      <c r="BZ22" s="318"/>
      <c r="CA22" s="318"/>
      <c r="CB22" s="318"/>
      <c r="CC22" s="318"/>
      <c r="CD22" s="318"/>
      <c r="CE22" s="318"/>
      <c r="CF22" s="318"/>
      <c r="CG22" s="318"/>
      <c r="CH22" s="318"/>
      <c r="CI22" s="318"/>
      <c r="CJ22" s="318"/>
      <c r="CK22" s="318"/>
      <c r="CL22" s="318"/>
      <c r="CM22" s="318"/>
      <c r="CN22" s="318"/>
      <c r="CO22" s="318"/>
      <c r="CP22" s="318"/>
      <c r="CQ22" s="318"/>
      <c r="CR22" s="318"/>
      <c r="CS22" s="318"/>
      <c r="CT22" s="318"/>
      <c r="CU22" s="318"/>
      <c r="CV22" s="318"/>
      <c r="CW22" s="318"/>
      <c r="CX22" s="318"/>
      <c r="CY22" s="318"/>
      <c r="CZ22" s="318"/>
      <c r="DA22" s="318"/>
      <c r="DB22" s="318"/>
      <c r="DC22" s="318"/>
      <c r="DD22" s="318"/>
      <c r="DE22" s="318"/>
      <c r="DF22" s="318"/>
      <c r="DG22" s="318"/>
      <c r="DH22" s="318"/>
      <c r="DI22" s="318"/>
      <c r="DJ22" s="318"/>
      <c r="DK22" s="318"/>
      <c r="DL22" s="318"/>
      <c r="DM22" s="319"/>
    </row>
    <row r="23" spans="1:117" ht="13.5" thickBot="1" x14ac:dyDescent="0.35">
      <c r="A23" s="312" t="s">
        <v>308</v>
      </c>
      <c r="B23" s="313">
        <f>SUM(B15:B22)</f>
        <v>62600000</v>
      </c>
      <c r="C23" s="314">
        <f>SUM(C15:C22)</f>
        <v>29890000</v>
      </c>
      <c r="D23" s="315">
        <f t="shared" ref="D23" si="10">C23/B23</f>
        <v>0.47747603833865815</v>
      </c>
      <c r="E23" s="313">
        <f>SUM(E15:E22)</f>
        <v>0</v>
      </c>
      <c r="F23" s="320">
        <f t="shared" ref="F23:BQ23" si="11">SUM(F15:F22)</f>
        <v>0</v>
      </c>
      <c r="G23" s="320">
        <f t="shared" si="11"/>
        <v>0</v>
      </c>
      <c r="H23" s="320">
        <f t="shared" si="11"/>
        <v>0</v>
      </c>
      <c r="I23" s="320">
        <f t="shared" si="11"/>
        <v>13000000</v>
      </c>
      <c r="J23" s="320">
        <f t="shared" si="11"/>
        <v>0</v>
      </c>
      <c r="K23" s="320">
        <f t="shared" si="11"/>
        <v>0</v>
      </c>
      <c r="L23" s="320">
        <f t="shared" si="11"/>
        <v>8090000</v>
      </c>
      <c r="M23" s="320">
        <f t="shared" si="11"/>
        <v>8800000</v>
      </c>
      <c r="N23" s="320">
        <f t="shared" si="11"/>
        <v>0</v>
      </c>
      <c r="O23" s="320">
        <f t="shared" si="11"/>
        <v>0</v>
      </c>
      <c r="P23" s="320">
        <f t="shared" si="11"/>
        <v>0</v>
      </c>
      <c r="Q23" s="320">
        <f t="shared" si="11"/>
        <v>0</v>
      </c>
      <c r="R23" s="320">
        <f t="shared" si="11"/>
        <v>0</v>
      </c>
      <c r="S23" s="320">
        <f t="shared" si="11"/>
        <v>0</v>
      </c>
      <c r="T23" s="320">
        <f t="shared" si="11"/>
        <v>0</v>
      </c>
      <c r="U23" s="320">
        <f t="shared" si="11"/>
        <v>0</v>
      </c>
      <c r="V23" s="320">
        <f t="shared" si="11"/>
        <v>0</v>
      </c>
      <c r="W23" s="320">
        <f t="shared" si="11"/>
        <v>0</v>
      </c>
      <c r="X23" s="320">
        <f t="shared" si="11"/>
        <v>0</v>
      </c>
      <c r="Y23" s="320">
        <f t="shared" si="11"/>
        <v>0</v>
      </c>
      <c r="Z23" s="320">
        <f t="shared" si="11"/>
        <v>0</v>
      </c>
      <c r="AA23" s="320">
        <f t="shared" si="11"/>
        <v>0</v>
      </c>
      <c r="AB23" s="320">
        <f t="shared" si="11"/>
        <v>0</v>
      </c>
      <c r="AC23" s="320">
        <f t="shared" si="11"/>
        <v>0</v>
      </c>
      <c r="AD23" s="320">
        <f t="shared" si="11"/>
        <v>0</v>
      </c>
      <c r="AE23" s="320">
        <f t="shared" si="11"/>
        <v>0</v>
      </c>
      <c r="AF23" s="320">
        <f t="shared" si="11"/>
        <v>0</v>
      </c>
      <c r="AG23" s="320">
        <f t="shared" si="11"/>
        <v>0</v>
      </c>
      <c r="AH23" s="320">
        <f t="shared" si="11"/>
        <v>0</v>
      </c>
      <c r="AI23" s="320">
        <f t="shared" si="11"/>
        <v>0</v>
      </c>
      <c r="AJ23" s="320">
        <f t="shared" si="11"/>
        <v>0</v>
      </c>
      <c r="AK23" s="320">
        <f t="shared" si="11"/>
        <v>0</v>
      </c>
      <c r="AL23" s="320">
        <f t="shared" si="11"/>
        <v>0</v>
      </c>
      <c r="AM23" s="320">
        <f t="shared" si="11"/>
        <v>0</v>
      </c>
      <c r="AN23" s="320">
        <f t="shared" si="11"/>
        <v>0</v>
      </c>
      <c r="AO23" s="320">
        <f t="shared" si="11"/>
        <v>0</v>
      </c>
      <c r="AP23" s="320">
        <f t="shared" si="11"/>
        <v>0</v>
      </c>
      <c r="AQ23" s="320">
        <f t="shared" si="11"/>
        <v>0</v>
      </c>
      <c r="AR23" s="320">
        <f t="shared" si="11"/>
        <v>0</v>
      </c>
      <c r="AS23" s="320">
        <f t="shared" si="11"/>
        <v>0</v>
      </c>
      <c r="AT23" s="320">
        <f t="shared" si="11"/>
        <v>0</v>
      </c>
      <c r="AU23" s="320">
        <f t="shared" si="11"/>
        <v>0</v>
      </c>
      <c r="AV23" s="320">
        <f t="shared" si="11"/>
        <v>0</v>
      </c>
      <c r="AW23" s="320">
        <f t="shared" si="11"/>
        <v>0</v>
      </c>
      <c r="AX23" s="320">
        <f t="shared" si="11"/>
        <v>0</v>
      </c>
      <c r="AY23" s="320">
        <f t="shared" si="11"/>
        <v>0</v>
      </c>
      <c r="AZ23" s="320">
        <f t="shared" si="11"/>
        <v>0</v>
      </c>
      <c r="BA23" s="320">
        <f t="shared" si="11"/>
        <v>0</v>
      </c>
      <c r="BB23" s="320">
        <f t="shared" si="11"/>
        <v>0</v>
      </c>
      <c r="BC23" s="320">
        <f t="shared" si="11"/>
        <v>0</v>
      </c>
      <c r="BD23" s="320">
        <f t="shared" si="11"/>
        <v>0</v>
      </c>
      <c r="BE23" s="320">
        <f t="shared" si="11"/>
        <v>0</v>
      </c>
      <c r="BF23" s="320">
        <f t="shared" si="11"/>
        <v>0</v>
      </c>
      <c r="BG23" s="320">
        <f t="shared" si="11"/>
        <v>0</v>
      </c>
      <c r="BH23" s="320">
        <f t="shared" si="11"/>
        <v>0</v>
      </c>
      <c r="BI23" s="320">
        <f t="shared" si="11"/>
        <v>0</v>
      </c>
      <c r="BJ23" s="320">
        <f t="shared" si="11"/>
        <v>0</v>
      </c>
      <c r="BK23" s="320">
        <f t="shared" si="11"/>
        <v>0</v>
      </c>
      <c r="BL23" s="320">
        <f t="shared" si="11"/>
        <v>0</v>
      </c>
      <c r="BM23" s="320">
        <f t="shared" si="11"/>
        <v>0</v>
      </c>
      <c r="BN23" s="320">
        <f t="shared" si="11"/>
        <v>0</v>
      </c>
      <c r="BO23" s="320">
        <f t="shared" si="11"/>
        <v>0</v>
      </c>
      <c r="BP23" s="320">
        <f t="shared" si="11"/>
        <v>0</v>
      </c>
      <c r="BQ23" s="320">
        <f t="shared" si="11"/>
        <v>0</v>
      </c>
      <c r="BR23" s="320">
        <f t="shared" ref="BR23:DM23" si="12">SUM(BR15:BR22)</f>
        <v>0</v>
      </c>
      <c r="BS23" s="320">
        <f t="shared" si="12"/>
        <v>0</v>
      </c>
      <c r="BT23" s="320">
        <f t="shared" si="12"/>
        <v>0</v>
      </c>
      <c r="BU23" s="320">
        <f t="shared" si="12"/>
        <v>0</v>
      </c>
      <c r="BV23" s="320">
        <f t="shared" si="12"/>
        <v>0</v>
      </c>
      <c r="BW23" s="320">
        <f t="shared" si="12"/>
        <v>0</v>
      </c>
      <c r="BX23" s="320">
        <f t="shared" si="12"/>
        <v>0</v>
      </c>
      <c r="BY23" s="320">
        <f t="shared" si="12"/>
        <v>0</v>
      </c>
      <c r="BZ23" s="320">
        <f t="shared" si="12"/>
        <v>0</v>
      </c>
      <c r="CA23" s="320">
        <f t="shared" si="12"/>
        <v>0</v>
      </c>
      <c r="CB23" s="320">
        <f t="shared" si="12"/>
        <v>0</v>
      </c>
      <c r="CC23" s="320">
        <f t="shared" si="12"/>
        <v>0</v>
      </c>
      <c r="CD23" s="320">
        <f t="shared" si="12"/>
        <v>0</v>
      </c>
      <c r="CE23" s="320">
        <f t="shared" si="12"/>
        <v>0</v>
      </c>
      <c r="CF23" s="320">
        <f t="shared" si="12"/>
        <v>0</v>
      </c>
      <c r="CG23" s="320">
        <f t="shared" si="12"/>
        <v>0</v>
      </c>
      <c r="CH23" s="320">
        <f t="shared" si="12"/>
        <v>0</v>
      </c>
      <c r="CI23" s="320">
        <f t="shared" si="12"/>
        <v>0</v>
      </c>
      <c r="CJ23" s="320">
        <f t="shared" si="12"/>
        <v>0</v>
      </c>
      <c r="CK23" s="320">
        <f t="shared" si="12"/>
        <v>0</v>
      </c>
      <c r="CL23" s="320">
        <f t="shared" si="12"/>
        <v>0</v>
      </c>
      <c r="CM23" s="320">
        <f t="shared" si="12"/>
        <v>0</v>
      </c>
      <c r="CN23" s="320">
        <f t="shared" si="12"/>
        <v>0</v>
      </c>
      <c r="CO23" s="320">
        <f t="shared" si="12"/>
        <v>0</v>
      </c>
      <c r="CP23" s="320">
        <f t="shared" si="12"/>
        <v>0</v>
      </c>
      <c r="CQ23" s="320">
        <f t="shared" si="12"/>
        <v>0</v>
      </c>
      <c r="CR23" s="320">
        <f t="shared" si="12"/>
        <v>0</v>
      </c>
      <c r="CS23" s="320">
        <f t="shared" si="12"/>
        <v>0</v>
      </c>
      <c r="CT23" s="320">
        <f t="shared" si="12"/>
        <v>0</v>
      </c>
      <c r="CU23" s="320">
        <f t="shared" si="12"/>
        <v>0</v>
      </c>
      <c r="CV23" s="320">
        <f t="shared" si="12"/>
        <v>0</v>
      </c>
      <c r="CW23" s="320">
        <f t="shared" si="12"/>
        <v>0</v>
      </c>
      <c r="CX23" s="320">
        <f t="shared" si="12"/>
        <v>0</v>
      </c>
      <c r="CY23" s="320">
        <f t="shared" si="12"/>
        <v>0</v>
      </c>
      <c r="CZ23" s="320">
        <f t="shared" si="12"/>
        <v>0</v>
      </c>
      <c r="DA23" s="320">
        <f t="shared" si="12"/>
        <v>0</v>
      </c>
      <c r="DB23" s="320">
        <f t="shared" si="12"/>
        <v>0</v>
      </c>
      <c r="DC23" s="320">
        <f t="shared" si="12"/>
        <v>0</v>
      </c>
      <c r="DD23" s="320">
        <f t="shared" si="12"/>
        <v>0</v>
      </c>
      <c r="DE23" s="320">
        <f t="shared" si="12"/>
        <v>0</v>
      </c>
      <c r="DF23" s="320">
        <f t="shared" si="12"/>
        <v>0</v>
      </c>
      <c r="DG23" s="320">
        <f t="shared" si="12"/>
        <v>0</v>
      </c>
      <c r="DH23" s="320">
        <f t="shared" si="12"/>
        <v>0</v>
      </c>
      <c r="DI23" s="320">
        <f t="shared" si="12"/>
        <v>0</v>
      </c>
      <c r="DJ23" s="320">
        <f t="shared" si="12"/>
        <v>0</v>
      </c>
      <c r="DK23" s="320">
        <f t="shared" si="12"/>
        <v>0</v>
      </c>
      <c r="DL23" s="320">
        <f t="shared" si="12"/>
        <v>0</v>
      </c>
      <c r="DM23" s="321">
        <f t="shared" si="1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2.xml><?xml version="1.0" encoding="utf-8"?>
<ds:datastoreItem xmlns:ds="http://schemas.openxmlformats.org/officeDocument/2006/customXml" ds:itemID="{516E915E-9D02-425B-BBF3-5A289B13AD8E}">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170adaaf-5bd9-47fc-b1cd-b112a7c2f5a0"/>
    <ds:schemaRef ds:uri="6b12c305-95b0-4b80-9514-c6b86e19b0c5"/>
    <ds:schemaRef ds:uri="http://www.w3.org/XML/1998/namespace"/>
    <ds:schemaRef ds:uri="http://purl.org/dc/dcmitype/"/>
  </ds:schemaRefs>
</ds:datastoreItem>
</file>

<file path=customXml/itemProps3.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7</vt:i4>
      </vt:variant>
    </vt:vector>
  </HeadingPairs>
  <TitlesOfParts>
    <vt:vector size="7" baseType="lpstr">
      <vt:lpstr>2020</vt:lpstr>
      <vt:lpstr>2021</vt:lpstr>
      <vt:lpstr>CUADROS DE RESPALDO</vt:lpstr>
      <vt:lpstr>CONTRY ANALYSIS</vt:lpstr>
      <vt:lpstr>Desembolsos</vt:lpstr>
      <vt:lpstr>Datos sociales</vt:lpstr>
      <vt:lpstr>Inversionistas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Daniel Maldonado</cp:lastModifiedBy>
  <cp:lastPrinted>2020-09-08T22:38:45Z</cp:lastPrinted>
  <dcterms:created xsi:type="dcterms:W3CDTF">2007-02-21T16:38:19Z</dcterms:created>
  <dcterms:modified xsi:type="dcterms:W3CDTF">2021-07-07T20:52:39Z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