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F:\LEEDS\Minerva\LUBS5308M Business Analytics and Decision Science\BADS Coursework\"/>
    </mc:Choice>
  </mc:AlternateContent>
  <xr:revisionPtr revIDLastSave="0" documentId="13_ncr:1_{243FEE3B-DEB8-4401-A0EC-4044645E0E33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Weight" sheetId="1" r:id="rId1"/>
    <sheet name="C1 (public transport links)" sheetId="2" r:id="rId2"/>
    <sheet name="C2 (Parking)" sheetId="3" r:id="rId3"/>
    <sheet name="C3 (Warehouse space)" sheetId="4" r:id="rId4"/>
    <sheet name="C4 (Security)" sheetId="5" r:id="rId5"/>
    <sheet name="C5 (Cost)" sheetId="6" r:id="rId6"/>
    <sheet name="AHP" sheetId="7" r:id="rId7"/>
    <sheet name="Tops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8" l="1"/>
  <c r="G4" i="8"/>
  <c r="F4" i="8"/>
  <c r="E4" i="8"/>
  <c r="D4" i="8"/>
  <c r="C12" i="7"/>
  <c r="C13" i="7"/>
  <c r="C14" i="7"/>
  <c r="C15" i="7"/>
  <c r="C11" i="7"/>
  <c r="F5" i="7"/>
  <c r="F6" i="7"/>
  <c r="F7" i="7"/>
  <c r="F4" i="7"/>
  <c r="E5" i="7"/>
  <c r="E6" i="7"/>
  <c r="E7" i="7"/>
  <c r="E4" i="7"/>
  <c r="D5" i="7"/>
  <c r="D6" i="7"/>
  <c r="D7" i="7"/>
  <c r="D4" i="7"/>
  <c r="C5" i="7"/>
  <c r="C6" i="7"/>
  <c r="C7" i="7"/>
  <c r="C4" i="7"/>
  <c r="G7" i="5"/>
  <c r="G6" i="5"/>
  <c r="G5" i="5"/>
  <c r="G4" i="5"/>
  <c r="G7" i="4"/>
  <c r="G6" i="4"/>
  <c r="G5" i="4"/>
  <c r="G4" i="4"/>
  <c r="G7" i="3"/>
  <c r="G6" i="3"/>
  <c r="G5" i="3"/>
  <c r="G4" i="3"/>
  <c r="G5" i="2"/>
  <c r="G6" i="2"/>
  <c r="G7" i="2"/>
  <c r="G4" i="2"/>
  <c r="H8" i="1"/>
  <c r="I7" i="1" s="1"/>
  <c r="H4" i="1"/>
  <c r="H5" i="1"/>
  <c r="H6" i="1"/>
  <c r="H7" i="1"/>
  <c r="H3" i="1"/>
  <c r="D5" i="6"/>
  <c r="D6" i="6"/>
  <c r="D7" i="6"/>
  <c r="D4" i="6"/>
  <c r="D8" i="6" l="1"/>
  <c r="E4" i="6" s="1"/>
  <c r="G4" i="7" s="1"/>
  <c r="H4" i="5"/>
  <c r="H5" i="5"/>
  <c r="H7" i="5"/>
  <c r="G8" i="5"/>
  <c r="H6" i="5" s="1"/>
  <c r="G8" i="4"/>
  <c r="H5" i="4" s="1"/>
  <c r="H4" i="3"/>
  <c r="H5" i="3"/>
  <c r="H6" i="3"/>
  <c r="G8" i="3"/>
  <c r="H7" i="3" s="1"/>
  <c r="G8" i="2"/>
  <c r="I6" i="1"/>
  <c r="I5" i="1"/>
  <c r="I3" i="1"/>
  <c r="I4" i="1"/>
  <c r="E7" i="6"/>
  <c r="G7" i="7" s="1"/>
  <c r="E6" i="6"/>
  <c r="G6" i="7" s="1"/>
  <c r="D17" i="8"/>
  <c r="E9" i="8"/>
  <c r="E10" i="8" s="1"/>
  <c r="E17" i="8" s="1"/>
  <c r="F9" i="8"/>
  <c r="F10" i="8" s="1"/>
  <c r="F16" i="8" s="1"/>
  <c r="G9" i="8"/>
  <c r="G10" i="8" s="1"/>
  <c r="G15" i="8" s="1"/>
  <c r="H9" i="8"/>
  <c r="H10" i="8" s="1"/>
  <c r="D9" i="8"/>
  <c r="D10" i="8" s="1"/>
  <c r="D14" i="8" s="1"/>
  <c r="E4" i="3"/>
  <c r="D4" i="4"/>
  <c r="C8" i="6"/>
  <c r="E16" i="8" l="1"/>
  <c r="G17" i="8"/>
  <c r="G14" i="8"/>
  <c r="E5" i="6"/>
  <c r="G5" i="7" s="1"/>
  <c r="H8" i="5"/>
  <c r="H7" i="4"/>
  <c r="H4" i="4"/>
  <c r="H8" i="4" s="1"/>
  <c r="H6" i="4"/>
  <c r="H8" i="3"/>
  <c r="H5" i="2"/>
  <c r="H4" i="2"/>
  <c r="H8" i="2" s="1"/>
  <c r="H6" i="2"/>
  <c r="H7" i="2"/>
  <c r="I8" i="1"/>
  <c r="H16" i="8"/>
  <c r="H14" i="8"/>
  <c r="H15" i="8"/>
  <c r="H17" i="8"/>
  <c r="D16" i="8"/>
  <c r="F14" i="8"/>
  <c r="F17" i="8"/>
  <c r="G16" i="8"/>
  <c r="D15" i="8"/>
  <c r="F15" i="8"/>
  <c r="E15" i="8"/>
  <c r="E14" i="8"/>
  <c r="E8" i="6" l="1"/>
  <c r="E7" i="5" l="1"/>
  <c r="D7" i="5"/>
  <c r="C7" i="5"/>
  <c r="D6" i="5"/>
  <c r="D4" i="5"/>
  <c r="D7" i="4"/>
  <c r="D6" i="4"/>
  <c r="F4" i="4"/>
  <c r="E4" i="4"/>
  <c r="D7" i="3"/>
  <c r="F4" i="3"/>
  <c r="D4" i="3"/>
  <c r="E7" i="3"/>
  <c r="E5" i="3"/>
  <c r="C6" i="2"/>
  <c r="E5" i="2"/>
  <c r="C5" i="2"/>
  <c r="F6" i="2"/>
  <c r="F5" i="2"/>
  <c r="F4" i="2"/>
  <c r="F7" i="1"/>
  <c r="D7" i="1"/>
  <c r="C7" i="1"/>
  <c r="F4" i="1"/>
  <c r="F3" i="1"/>
  <c r="E7" i="1"/>
  <c r="E4" i="1"/>
  <c r="E6" i="1"/>
  <c r="E3" i="1"/>
  <c r="F23" i="8" l="1"/>
  <c r="F21" i="8"/>
  <c r="F24" i="8"/>
  <c r="F22" i="8"/>
  <c r="F12" i="7"/>
  <c r="F11" i="7"/>
  <c r="F13" i="7" l="1"/>
  <c r="F14" i="7"/>
  <c r="H22" i="8"/>
  <c r="H24" i="8"/>
  <c r="H23" i="8"/>
  <c r="H21" i="8"/>
  <c r="F36" i="8"/>
  <c r="F30" i="8"/>
  <c r="E24" i="8"/>
  <c r="E22" i="8"/>
  <c r="E23" i="8"/>
  <c r="E21" i="8"/>
  <c r="G21" i="8"/>
  <c r="G23" i="8"/>
  <c r="G24" i="8"/>
  <c r="G22" i="8"/>
  <c r="F33" i="8"/>
  <c r="F27" i="8"/>
  <c r="F29" i="8"/>
  <c r="F35" i="8"/>
  <c r="D21" i="8"/>
  <c r="D22" i="8"/>
  <c r="D24" i="8"/>
  <c r="D23" i="8"/>
  <c r="F34" i="8"/>
  <c r="F28" i="8"/>
  <c r="E34" i="8" l="1"/>
  <c r="E28" i="8"/>
  <c r="H27" i="8"/>
  <c r="H33" i="8"/>
  <c r="D33" i="8"/>
  <c r="D27" i="8"/>
  <c r="G33" i="8"/>
  <c r="G27" i="8"/>
  <c r="E36" i="8"/>
  <c r="E30" i="8"/>
  <c r="H29" i="8"/>
  <c r="H35" i="8"/>
  <c r="D34" i="8"/>
  <c r="D28" i="8"/>
  <c r="G29" i="8"/>
  <c r="G35" i="8"/>
  <c r="D35" i="8"/>
  <c r="D29" i="8"/>
  <c r="G28" i="8"/>
  <c r="G34" i="8"/>
  <c r="E33" i="8"/>
  <c r="E27" i="8"/>
  <c r="H30" i="8"/>
  <c r="H36" i="8"/>
  <c r="D36" i="8"/>
  <c r="D30" i="8"/>
  <c r="G36" i="8"/>
  <c r="G30" i="8"/>
  <c r="E35" i="8"/>
  <c r="E29" i="8"/>
  <c r="H28" i="8"/>
  <c r="H34" i="8"/>
  <c r="J30" i="8" l="1"/>
  <c r="J29" i="8"/>
  <c r="J28" i="8"/>
  <c r="J27" i="8"/>
  <c r="J36" i="8"/>
  <c r="J35" i="8"/>
  <c r="D41" i="8" s="1"/>
  <c r="J34" i="8"/>
  <c r="J33" i="8"/>
  <c r="D39" i="8" s="1"/>
  <c r="D40" i="8" l="1"/>
  <c r="D42" i="8"/>
</calcChain>
</file>

<file path=xl/sharedStrings.xml><?xml version="1.0" encoding="utf-8"?>
<sst xmlns="http://schemas.openxmlformats.org/spreadsheetml/2006/main" count="159" uniqueCount="32">
  <si>
    <t>C1 (Public transport links)</t>
  </si>
  <si>
    <t>C2 (Parking)</t>
  </si>
  <si>
    <t>C3 (Warehouse space)</t>
  </si>
  <si>
    <t>C4 (Security)</t>
  </si>
  <si>
    <t>C5 (Cost)</t>
  </si>
  <si>
    <t xml:space="preserve">A1 (Centre) </t>
  </si>
  <si>
    <t>A2 (Suburb)</t>
  </si>
  <si>
    <t>A3 (Shared)</t>
  </si>
  <si>
    <t>A4 (Extend)</t>
  </si>
  <si>
    <t>Geo Mean</t>
  </si>
  <si>
    <t>Alternatives</t>
  </si>
  <si>
    <t>Criteria</t>
  </si>
  <si>
    <t>Normalised</t>
  </si>
  <si>
    <t>Cost in 10,000</t>
  </si>
  <si>
    <t>Weights</t>
  </si>
  <si>
    <t>Values</t>
  </si>
  <si>
    <t>Weight</t>
  </si>
  <si>
    <t>C5 (Cost in  10,000)</t>
  </si>
  <si>
    <t>sum squared</t>
  </si>
  <si>
    <t>root sum squared</t>
  </si>
  <si>
    <t>PIS</t>
  </si>
  <si>
    <t>NIS</t>
  </si>
  <si>
    <t>Worst</t>
  </si>
  <si>
    <t>Best</t>
  </si>
  <si>
    <t>Criteria Weights</t>
  </si>
  <si>
    <t>C1 (Public Transport links)</t>
  </si>
  <si>
    <t>C3 (Warehouse Space)</t>
  </si>
  <si>
    <t>C5(Cost)</t>
  </si>
  <si>
    <t>Si* for PIS</t>
  </si>
  <si>
    <t>Si- for NIS</t>
  </si>
  <si>
    <t>AHP Score</t>
  </si>
  <si>
    <t>Best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</si>
</sst>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2" fontId="0" fillId="0" borderId="1" xfId="0" applyNumberFormat="1" applyBorder="1"/>
    <xf numFmtId="0" fontId="0" fillId="0" borderId="0" xfId="0" applyAlignment="1">
      <alignment textRotation="45" wrapText="1"/>
    </xf>
    <xf numFmtId="3" fontId="0" fillId="0" borderId="1" xfId="0" applyNumberFormat="1" applyBorder="1"/>
    <xf numFmtId="3" fontId="0" fillId="0" borderId="0" xfId="0" applyNumberFormat="1"/>
    <xf numFmtId="0" fontId="0" fillId="0" borderId="2" xfId="0" applyBorder="1"/>
    <xf numFmtId="12" fontId="0" fillId="2" borderId="1" xfId="0" applyNumberFormat="1" applyFill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3" fillId="5" borderId="1" xfId="0" applyFont="1" applyFill="1" applyBorder="1"/>
    <xf numFmtId="1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12" fontId="0" fillId="0" borderId="4" xfId="0" applyNumberFormat="1" applyBorder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wrapText="1"/>
    </xf>
    <xf numFmtId="12" fontId="0" fillId="2" borderId="1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5" fillId="0" borderId="1" xfId="0" applyFont="1" applyBorder="1"/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4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textRotation="90" wrapText="1"/>
    </xf>
    <xf numFmtId="0" fontId="0" fillId="0" borderId="3" xfId="0" applyBorder="1" applyAlignment="1">
      <alignment horizont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15740740740740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6A-40AB-B9B8-871F403158D2}"/>
                </c:ext>
              </c:extLst>
            </c:dLbl>
            <c:dLbl>
              <c:idx val="1"/>
              <c:layout>
                <c:manualLayout>
                  <c:x val="0"/>
                  <c:y val="-7.4074074074074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6A-40AB-B9B8-871F403158D2}"/>
                </c:ext>
              </c:extLst>
            </c:dLbl>
            <c:dLbl>
              <c:idx val="2"/>
              <c:layout>
                <c:manualLayout>
                  <c:x val="-1.0185067526415994E-16"/>
                  <c:y val="-0.33333333333333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6A-40AB-B9B8-871F403158D2}"/>
                </c:ext>
              </c:extLst>
            </c:dLbl>
            <c:dLbl>
              <c:idx val="3"/>
              <c:layout>
                <c:manualLayout>
                  <c:x val="-1.0185067526415994E-16"/>
                  <c:y val="-0.19524387576552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6A-40AB-B9B8-871F403158D2}"/>
                </c:ext>
              </c:extLst>
            </c:dLbl>
            <c:dLbl>
              <c:idx val="4"/>
              <c:layout>
                <c:manualLayout>
                  <c:x val="0"/>
                  <c:y val="-6.94444444444444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6A-40AB-B9B8-871F40315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Weight!$B$10:$B$14</c:f>
              <c:strCache>
                <c:ptCount val="5"/>
                <c:pt idx="0">
                  <c:v>C1 (Public transport links)</c:v>
                </c:pt>
                <c:pt idx="1">
                  <c:v>C2 (Parking)</c:v>
                </c:pt>
                <c:pt idx="2">
                  <c:v>C3 (Warehouse space)</c:v>
                </c:pt>
                <c:pt idx="3">
                  <c:v>C4 (Security)</c:v>
                </c:pt>
                <c:pt idx="4">
                  <c:v>C5 (Cost)</c:v>
                </c:pt>
              </c:strCache>
            </c:strRef>
          </c:cat>
          <c:val>
            <c:numRef>
              <c:f>Weight!$C$10:$C$14</c:f>
              <c:numCache>
                <c:formatCode>General</c:formatCode>
                <c:ptCount val="5"/>
                <c:pt idx="0">
                  <c:v>0.12957367894643812</c:v>
                </c:pt>
                <c:pt idx="1">
                  <c:v>6.3636045086231371E-2</c:v>
                </c:pt>
                <c:pt idx="2">
                  <c:v>0.51003872501686387</c:v>
                </c:pt>
                <c:pt idx="3">
                  <c:v>0.26383377931428448</c:v>
                </c:pt>
                <c:pt idx="4">
                  <c:v>3.291777163618214E-2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A-40AB-B9B8-871F403158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6249615"/>
        <c:axId val="1366270415"/>
      </c:barChart>
      <c:catAx>
        <c:axId val="13662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70415"/>
        <c:crosses val="autoZero"/>
        <c:auto val="1"/>
        <c:lblAlgn val="ctr"/>
        <c:lblOffset val="100"/>
        <c:noMultiLvlLbl val="0"/>
      </c:catAx>
      <c:valAx>
        <c:axId val="13662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4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Best Alternative based on AHP</a:t>
            </a:r>
          </a:p>
        </c:rich>
      </c:tx>
      <c:layout>
        <c:manualLayout>
          <c:xMode val="edge"/>
          <c:yMode val="edge"/>
          <c:x val="0.22960733983141976"/>
          <c:y val="4.8823790501553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AHP!$E$11:$E$14</c:f>
              <c:strCache>
                <c:ptCount val="4"/>
                <c:pt idx="0">
                  <c:v>A1 (Centre) </c:v>
                </c:pt>
                <c:pt idx="1">
                  <c:v>A2 (Suburb)</c:v>
                </c:pt>
                <c:pt idx="2">
                  <c:v>A3 (Shared)</c:v>
                </c:pt>
                <c:pt idx="3">
                  <c:v>A4 (Extend)</c:v>
                </c:pt>
              </c:strCache>
            </c:strRef>
          </c:cat>
          <c:val>
            <c:numRef>
              <c:f>AHP!$F$11:$F$14</c:f>
              <c:numCache>
                <c:formatCode>General</c:formatCode>
                <c:ptCount val="4"/>
                <c:pt idx="0">
                  <c:v>0.11290826346804088</c:v>
                </c:pt>
                <c:pt idx="1">
                  <c:v>0.48379223678743799</c:v>
                </c:pt>
                <c:pt idx="2">
                  <c:v>0.20005567641086316</c:v>
                </c:pt>
                <c:pt idx="3">
                  <c:v>0.20324382333365792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2-49F3-9F4F-4B471799E0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6527248"/>
        <c:axId val="766525168"/>
      </c:barChart>
      <c:catAx>
        <c:axId val="76652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25168"/>
        <c:crosses val="autoZero"/>
        <c:auto val="1"/>
        <c:lblAlgn val="ctr"/>
        <c:lblOffset val="100"/>
        <c:noMultiLvlLbl val="0"/>
      </c:catAx>
      <c:valAx>
        <c:axId val="7665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Best Alternative based on TOPSIS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23893691391201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Topsis!$C$39:$C$42</c:f>
              <c:strCache>
                <c:ptCount val="4"/>
                <c:pt idx="0">
                  <c:v>A1 (Centre) </c:v>
                </c:pt>
                <c:pt idx="1">
                  <c:v>A2 (Suburb)</c:v>
                </c:pt>
                <c:pt idx="2">
                  <c:v>A3 (Shared)</c:v>
                </c:pt>
                <c:pt idx="3">
                  <c:v>A4 (Extend)</c:v>
                </c:pt>
              </c:strCache>
            </c:strRef>
          </c:cat>
          <c:val>
            <c:numRef>
              <c:f>Topsis!$D$39:$D$42</c:f>
              <c:numCache>
                <c:formatCode>General</c:formatCode>
                <c:ptCount val="4"/>
                <c:pt idx="0">
                  <c:v>0.27285196581050464</c:v>
                </c:pt>
                <c:pt idx="1">
                  <c:v>0.80598792958257182</c:v>
                </c:pt>
                <c:pt idx="2">
                  <c:v>0.66147575245797163</c:v>
                </c:pt>
                <c:pt idx="3">
                  <c:v>0.53792287808837702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A8C-9D31-26D08FD9A9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0724416"/>
        <c:axId val="490719008"/>
        <c:axId val="0"/>
      </c:bar3DChart>
      <c:catAx>
        <c:axId val="4907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9008"/>
        <c:crosses val="autoZero"/>
        <c:auto val="1"/>
        <c:lblAlgn val="ctr"/>
        <c:lblOffset val="100"/>
        <c:noMultiLvlLbl val="0"/>
      </c:catAx>
      <c:valAx>
        <c:axId val="4907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9</xdr:row>
      <xdr:rowOff>64770</xdr:rowOff>
    </xdr:from>
    <xdr:to>
      <xdr:col>9</xdr:col>
      <xdr:colOff>472440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9F229-250B-8BB8-BBF6-1BEE8CB1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0</xdr:row>
      <xdr:rowOff>121920</xdr:rowOff>
    </xdr:from>
    <xdr:to>
      <xdr:col>9</xdr:col>
      <xdr:colOff>38100</xdr:colOff>
      <xdr:row>8</xdr:row>
      <xdr:rowOff>68580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C44754-5BD8-F9A3-8291-65263BD73B3F}"/>
            </a:ext>
          </a:extLst>
        </xdr:cNvPr>
        <xdr:cNvSpPr/>
      </xdr:nvSpPr>
      <xdr:spPr>
        <a:xfrm>
          <a:off x="6964680" y="121920"/>
          <a:ext cx="1432560" cy="1409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0.44122</cdr:x>
      <cdr:y>0.1875</cdr:y>
    </cdr:from>
    <cdr:to>
      <cdr:x>0.60386</cdr:x>
      <cdr:y>0.26806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CC44754-5BD8-F9A3-8291-65263BD73B3F}"/>
            </a:ext>
          </a:extLst>
        </cdr:cNvPr>
        <cdr:cNvSpPr/>
      </cdr:nvSpPr>
      <cdr:spPr>
        <a:xfrm xmlns:a="http://schemas.openxmlformats.org/drawingml/2006/main">
          <a:off x="2087880" y="514350"/>
          <a:ext cx="769620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13252</xdr:colOff>
      <xdr:row>1</xdr:row>
      <xdr:rowOff>106018</xdr:rowOff>
    </xdr:from>
    <xdr:to>
      <xdr:col>8</xdr:col>
      <xdr:colOff>33130</xdr:colOff>
      <xdr:row>8</xdr:row>
      <xdr:rowOff>97734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8C4BC4-7A9E-484A-A72D-38A2A2618541}"/>
            </a:ext>
          </a:extLst>
        </xdr:cNvPr>
        <xdr:cNvSpPr/>
      </xdr:nvSpPr>
      <xdr:spPr>
        <a:xfrm>
          <a:off x="4558748" y="291548"/>
          <a:ext cx="1490869" cy="146270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137160</xdr:rowOff>
    </xdr:from>
    <xdr:to>
      <xdr:col>8</xdr:col>
      <xdr:colOff>27829</xdr:colOff>
      <xdr:row>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C16835-E1ED-4B89-ADE8-DF7E874B6954}"/>
            </a:ext>
          </a:extLst>
        </xdr:cNvPr>
        <xdr:cNvSpPr/>
      </xdr:nvSpPr>
      <xdr:spPr>
        <a:xfrm>
          <a:off x="4130040" y="320040"/>
          <a:ext cx="1490869" cy="1219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152400</xdr:rowOff>
    </xdr:from>
    <xdr:to>
      <xdr:col>8</xdr:col>
      <xdr:colOff>53340</xdr:colOff>
      <xdr:row>8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1E664D-92A7-4CEC-AF1D-18FE1F11B982}"/>
            </a:ext>
          </a:extLst>
        </xdr:cNvPr>
        <xdr:cNvSpPr/>
      </xdr:nvSpPr>
      <xdr:spPr>
        <a:xfrm>
          <a:off x="4191000" y="335280"/>
          <a:ext cx="1501140" cy="1562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121920</xdr:rowOff>
    </xdr:from>
    <xdr:to>
      <xdr:col>8</xdr:col>
      <xdr:colOff>60960</xdr:colOff>
      <xdr:row>8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916505-168F-4450-B3EB-3D3439AA7315}"/>
            </a:ext>
          </a:extLst>
        </xdr:cNvPr>
        <xdr:cNvSpPr/>
      </xdr:nvSpPr>
      <xdr:spPr>
        <a:xfrm>
          <a:off x="4130040" y="304800"/>
          <a:ext cx="1524000" cy="14782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2</xdr:row>
      <xdr:rowOff>87630</xdr:rowOff>
    </xdr:from>
    <xdr:to>
      <xdr:col>13</xdr:col>
      <xdr:colOff>601980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55406-1CBC-EC3B-3E3B-FEB67E2E3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83820</xdr:rowOff>
    </xdr:from>
    <xdr:to>
      <xdr:col>8</xdr:col>
      <xdr:colOff>670560</xdr:colOff>
      <xdr:row>13</xdr:row>
      <xdr:rowOff>121920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30F0972-1CA0-C154-CDBD-7786F6B017C2}"/>
            </a:ext>
          </a:extLst>
        </xdr:cNvPr>
        <xdr:cNvSpPr/>
      </xdr:nvSpPr>
      <xdr:spPr>
        <a:xfrm>
          <a:off x="5966460" y="2644140"/>
          <a:ext cx="632460" cy="22098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0.01468</cdr:x>
      <cdr:y>0.59787</cdr:y>
    </cdr:from>
    <cdr:to>
      <cdr:x>0.13069</cdr:x>
      <cdr:y>0.66711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94DCA65-3BA5-F632-7CF0-6FCAC0ED307F}"/>
            </a:ext>
          </a:extLst>
        </cdr:cNvPr>
        <cdr:cNvSpPr/>
      </cdr:nvSpPr>
      <cdr:spPr>
        <a:xfrm xmlns:a="http://schemas.openxmlformats.org/drawingml/2006/main">
          <a:off x="75641" y="1710690"/>
          <a:ext cx="597560" cy="19812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37</xdr:row>
      <xdr:rowOff>49530</xdr:rowOff>
    </xdr:from>
    <xdr:to>
      <xdr:col>13</xdr:col>
      <xdr:colOff>83820</xdr:colOff>
      <xdr:row>52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16F20-3906-56E5-727F-E690F0AD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632459</xdr:colOff>
      <xdr:row>40</xdr:row>
      <xdr:rowOff>91440</xdr:rowOff>
    </xdr:from>
    <xdr:to>
      <xdr:col>8</xdr:col>
      <xdr:colOff>289560</xdr:colOff>
      <xdr:row>52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8A0732D-1C1E-45D6-9E8F-24606C567EA3}"/>
            </a:ext>
          </a:extLst>
        </xdr:cNvPr>
        <xdr:cNvSpPr/>
      </xdr:nvSpPr>
      <xdr:spPr>
        <a:xfrm>
          <a:off x="6842759" y="7741920"/>
          <a:ext cx="906781" cy="2110740"/>
        </a:xfrm>
        <a:prstGeom prst="rect">
          <a:avLst/>
        </a:prstGeom>
        <a:noFill/>
        <a:ln w="28575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workbookViewId="0">
      <selection activeCell="M17" sqref="M17"/>
    </sheetView>
  </sheetViews>
  <sheetFormatPr defaultRowHeight="14.4" x14ac:dyDescent="0.3"/>
  <cols>
    <col min="1" max="1" width="3.21875" customWidth="1"/>
    <col min="2" max="3" width="21.77734375" bestFit="1" customWidth="1"/>
    <col min="4" max="4" width="10.5546875" bestFit="1" customWidth="1"/>
    <col min="5" max="5" width="19.33203125" bestFit="1" customWidth="1"/>
    <col min="6" max="6" width="11.109375" bestFit="1" customWidth="1"/>
    <col min="7" max="7" width="8.33203125" bestFit="1" customWidth="1"/>
    <col min="9" max="9" width="11.21875" bestFit="1" customWidth="1"/>
    <col min="10" max="10" width="5.33203125" customWidth="1"/>
    <col min="11" max="12" width="12" bestFit="1" customWidth="1"/>
  </cols>
  <sheetData>
    <row r="2" spans="2:9" x14ac:dyDescent="0.3">
      <c r="B2" s="13" t="s">
        <v>24</v>
      </c>
      <c r="C2" s="2" t="s">
        <v>0</v>
      </c>
      <c r="D2" s="2" t="s">
        <v>1</v>
      </c>
      <c r="E2" s="2" t="s">
        <v>2</v>
      </c>
      <c r="F2" s="2" t="s">
        <v>3</v>
      </c>
      <c r="G2" s="17" t="s">
        <v>4</v>
      </c>
      <c r="H2" s="19" t="s">
        <v>9</v>
      </c>
      <c r="I2" s="19" t="s">
        <v>30</v>
      </c>
    </row>
    <row r="3" spans="2:9" x14ac:dyDescent="0.3">
      <c r="B3" s="2" t="s">
        <v>0</v>
      </c>
      <c r="C3" s="14">
        <v>1</v>
      </c>
      <c r="D3" s="14">
        <v>3</v>
      </c>
      <c r="E3" s="14">
        <f>1/5</f>
        <v>0.2</v>
      </c>
      <c r="F3" s="14">
        <f>1/3</f>
        <v>0.33333333333333331</v>
      </c>
      <c r="G3" s="18">
        <v>5</v>
      </c>
      <c r="H3" s="1">
        <f>GEOMEAN(C3:G3)</f>
        <v>1</v>
      </c>
      <c r="I3" s="1">
        <f>H3/$H$8</f>
        <v>0.12957367894643812</v>
      </c>
    </row>
    <row r="4" spans="2:9" x14ac:dyDescent="0.3">
      <c r="B4" s="2" t="s">
        <v>1</v>
      </c>
      <c r="C4" s="14">
        <v>0.33333333333333331</v>
      </c>
      <c r="D4" s="14">
        <v>1</v>
      </c>
      <c r="E4" s="14">
        <f>1/7</f>
        <v>0.14285714285714285</v>
      </c>
      <c r="F4" s="14">
        <f>1/5</f>
        <v>0.2</v>
      </c>
      <c r="G4" s="18">
        <v>3</v>
      </c>
      <c r="H4" s="1">
        <f t="shared" ref="H4:H7" si="0">GEOMEAN(C4:G4)</f>
        <v>0.49111860991873668</v>
      </c>
      <c r="I4" s="1">
        <f t="shared" ref="I4:I7" si="1">H4/$H$8</f>
        <v>6.3636045086231371E-2</v>
      </c>
    </row>
    <row r="5" spans="2:9" x14ac:dyDescent="0.3">
      <c r="B5" s="2" t="s">
        <v>2</v>
      </c>
      <c r="C5" s="14">
        <v>5</v>
      </c>
      <c r="D5" s="14">
        <v>7</v>
      </c>
      <c r="E5" s="14">
        <v>1</v>
      </c>
      <c r="F5" s="14">
        <v>3</v>
      </c>
      <c r="G5" s="18">
        <v>9</v>
      </c>
      <c r="H5" s="1">
        <f t="shared" si="0"/>
        <v>3.9362834270353515</v>
      </c>
      <c r="I5" s="1">
        <f t="shared" si="1"/>
        <v>0.51003872501686387</v>
      </c>
    </row>
    <row r="6" spans="2:9" x14ac:dyDescent="0.3">
      <c r="B6" s="2" t="s">
        <v>3</v>
      </c>
      <c r="C6" s="14">
        <v>3</v>
      </c>
      <c r="D6" s="14">
        <v>5</v>
      </c>
      <c r="E6" s="14">
        <f>1/3</f>
        <v>0.33333333333333331</v>
      </c>
      <c r="F6" s="14">
        <v>1</v>
      </c>
      <c r="G6" s="18">
        <v>7</v>
      </c>
      <c r="H6" s="1">
        <f t="shared" si="0"/>
        <v>2.0361680046403978</v>
      </c>
      <c r="I6" s="1">
        <f t="shared" si="1"/>
        <v>0.26383377931428448</v>
      </c>
    </row>
    <row r="7" spans="2:9" x14ac:dyDescent="0.3">
      <c r="B7" s="2" t="s">
        <v>4</v>
      </c>
      <c r="C7" s="14">
        <f>1/5</f>
        <v>0.2</v>
      </c>
      <c r="D7" s="14">
        <f>1/3</f>
        <v>0.33333333333333331</v>
      </c>
      <c r="E7" s="14">
        <f>1/9</f>
        <v>0.1111111111111111</v>
      </c>
      <c r="F7" s="14">
        <f>1/7</f>
        <v>0.14285714285714285</v>
      </c>
      <c r="G7" s="18">
        <v>1</v>
      </c>
      <c r="H7" s="1">
        <f t="shared" si="0"/>
        <v>0.25404674702328517</v>
      </c>
      <c r="I7" s="1">
        <f t="shared" si="1"/>
        <v>3.291777163618214E-2</v>
      </c>
    </row>
    <row r="8" spans="2:9" x14ac:dyDescent="0.3">
      <c r="H8" s="1">
        <f>SUM(H3:H7)</f>
        <v>7.7176167886177716</v>
      </c>
      <c r="I8" s="1">
        <f>SUM(I3:I7)</f>
        <v>1</v>
      </c>
    </row>
    <row r="10" spans="2:9" x14ac:dyDescent="0.3">
      <c r="B10" s="3" t="s">
        <v>0</v>
      </c>
      <c r="C10">
        <v>0.12957367894643812</v>
      </c>
    </row>
    <row r="11" spans="2:9" x14ac:dyDescent="0.3">
      <c r="B11" s="3" t="s">
        <v>1</v>
      </c>
      <c r="C11">
        <v>6.3636045086231371E-2</v>
      </c>
    </row>
    <row r="12" spans="2:9" x14ac:dyDescent="0.3">
      <c r="B12" s="3" t="s">
        <v>2</v>
      </c>
      <c r="C12">
        <v>0.51003872501686387</v>
      </c>
    </row>
    <row r="13" spans="2:9" x14ac:dyDescent="0.3">
      <c r="B13" s="3" t="s">
        <v>3</v>
      </c>
      <c r="C13">
        <v>0.26383377931428448</v>
      </c>
    </row>
    <row r="14" spans="2:9" x14ac:dyDescent="0.3">
      <c r="B14" s="3" t="s">
        <v>4</v>
      </c>
      <c r="C14">
        <v>3.291777163618214E-2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7FC8-C841-41C1-8A99-C4BB05D60680}">
  <dimension ref="B3:H8"/>
  <sheetViews>
    <sheetView zoomScale="115" zoomScaleNormal="115" workbookViewId="0">
      <selection activeCell="D17" sqref="D17"/>
    </sheetView>
  </sheetViews>
  <sheetFormatPr defaultRowHeight="14.4" x14ac:dyDescent="0.3"/>
  <cols>
    <col min="1" max="1" width="3.33203125" customWidth="1"/>
    <col min="2" max="2" width="16.109375" customWidth="1"/>
    <col min="3" max="3" width="10.5546875" bestFit="1" customWidth="1"/>
    <col min="4" max="6" width="10.21875" bestFit="1" customWidth="1"/>
    <col min="8" max="8" width="12.5546875" bestFit="1" customWidth="1"/>
    <col min="9" max="9" width="3.44140625" customWidth="1"/>
    <col min="10" max="11" width="12" bestFit="1" customWidth="1"/>
  </cols>
  <sheetData>
    <row r="3" spans="2:8" ht="28.2" customHeight="1" x14ac:dyDescent="0.3">
      <c r="B3" s="16" t="s">
        <v>25</v>
      </c>
      <c r="C3" s="9" t="s">
        <v>5</v>
      </c>
      <c r="D3" s="9" t="s">
        <v>6</v>
      </c>
      <c r="E3" s="9" t="s">
        <v>7</v>
      </c>
      <c r="F3" s="9" t="s">
        <v>8</v>
      </c>
      <c r="G3" s="19" t="s">
        <v>9</v>
      </c>
      <c r="H3" s="19" t="s">
        <v>30</v>
      </c>
    </row>
    <row r="4" spans="2:8" x14ac:dyDescent="0.3">
      <c r="B4" s="9" t="s">
        <v>5</v>
      </c>
      <c r="C4" s="4">
        <v>1</v>
      </c>
      <c r="D4" s="4">
        <v>5</v>
      </c>
      <c r="E4" s="4">
        <v>6</v>
      </c>
      <c r="F4" s="4">
        <f>1/3</f>
        <v>0.33333333333333331</v>
      </c>
      <c r="G4" s="1">
        <f>GEOMEAN(C4:F4)</f>
        <v>1.778279410038923</v>
      </c>
      <c r="H4" s="1">
        <f>G4/$G$8</f>
        <v>0.30191688925734267</v>
      </c>
    </row>
    <row r="5" spans="2:8" x14ac:dyDescent="0.3">
      <c r="B5" s="9" t="s">
        <v>6</v>
      </c>
      <c r="C5" s="4">
        <f>1/5</f>
        <v>0.2</v>
      </c>
      <c r="D5" s="4">
        <v>1</v>
      </c>
      <c r="E5" s="4">
        <f>1/3</f>
        <v>0.33333333333333331</v>
      </c>
      <c r="F5" s="4">
        <f>1/9</f>
        <v>0.1111111111111111</v>
      </c>
      <c r="G5" s="1">
        <f t="shared" ref="G5:G7" si="0">GEOMEAN(C5:F5)</f>
        <v>0.29337057893113111</v>
      </c>
      <c r="H5" s="1">
        <f t="shared" ref="H5:H7" si="1">G5/$G$8</f>
        <v>4.9808557693739541E-2</v>
      </c>
    </row>
    <row r="6" spans="2:8" x14ac:dyDescent="0.3">
      <c r="B6" s="9" t="s">
        <v>7</v>
      </c>
      <c r="C6" s="4">
        <f>1/6</f>
        <v>0.16666666666666666</v>
      </c>
      <c r="D6" s="4">
        <v>3</v>
      </c>
      <c r="E6" s="4">
        <v>1</v>
      </c>
      <c r="F6" s="4">
        <f>1/4</f>
        <v>0.25</v>
      </c>
      <c r="G6" s="1">
        <f t="shared" si="0"/>
        <v>0.59460355750136051</v>
      </c>
      <c r="H6" s="1">
        <f t="shared" si="1"/>
        <v>0.10095199629974397</v>
      </c>
    </row>
    <row r="7" spans="2:8" x14ac:dyDescent="0.3">
      <c r="B7" s="9" t="s">
        <v>8</v>
      </c>
      <c r="C7" s="4">
        <v>3</v>
      </c>
      <c r="D7" s="4">
        <v>9</v>
      </c>
      <c r="E7" s="4">
        <v>4</v>
      </c>
      <c r="F7" s="4">
        <v>1</v>
      </c>
      <c r="G7" s="1">
        <f t="shared" si="0"/>
        <v>3.2237097954706257</v>
      </c>
      <c r="H7" s="1">
        <f t="shared" si="1"/>
        <v>0.54732255674917374</v>
      </c>
    </row>
    <row r="8" spans="2:8" x14ac:dyDescent="0.3">
      <c r="G8" s="1">
        <f>SUM(G4:G7)</f>
        <v>5.8899633419420407</v>
      </c>
      <c r="H8" s="1">
        <f>SUM(H4:H7)</f>
        <v>0.99999999999999989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D8D1-E7EF-4ED8-B2EA-5EF9E3FFB166}">
  <dimension ref="B3:H8"/>
  <sheetViews>
    <sheetView workbookViewId="0">
      <selection activeCell="G19" sqref="G19"/>
    </sheetView>
  </sheetViews>
  <sheetFormatPr defaultRowHeight="14.4" x14ac:dyDescent="0.3"/>
  <cols>
    <col min="1" max="1" width="4.109375" customWidth="1"/>
    <col min="2" max="3" width="10.5546875" bestFit="1" customWidth="1"/>
    <col min="4" max="6" width="10.21875" bestFit="1" customWidth="1"/>
    <col min="8" max="8" width="12" bestFit="1" customWidth="1"/>
    <col min="9" max="9" width="4.77734375" customWidth="1"/>
    <col min="10" max="10" width="12" bestFit="1" customWidth="1"/>
  </cols>
  <sheetData>
    <row r="3" spans="2:8" x14ac:dyDescent="0.3">
      <c r="B3" s="16" t="s">
        <v>1</v>
      </c>
      <c r="C3" s="9" t="s">
        <v>5</v>
      </c>
      <c r="D3" s="9" t="s">
        <v>6</v>
      </c>
      <c r="E3" s="9" t="s">
        <v>7</v>
      </c>
      <c r="F3" s="9" t="s">
        <v>8</v>
      </c>
      <c r="G3" s="19" t="s">
        <v>9</v>
      </c>
      <c r="H3" s="19" t="s">
        <v>30</v>
      </c>
    </row>
    <row r="4" spans="2:8" x14ac:dyDescent="0.3">
      <c r="B4" s="9" t="s">
        <v>5</v>
      </c>
      <c r="C4" s="4">
        <v>1</v>
      </c>
      <c r="D4" s="4">
        <f>1/5</f>
        <v>0.2</v>
      </c>
      <c r="E4" s="4">
        <f>1/9</f>
        <v>0.1111111111111111</v>
      </c>
      <c r="F4" s="4">
        <f>1/4</f>
        <v>0.25</v>
      </c>
      <c r="G4" s="1">
        <f>GEOMEAN(C4:F4)</f>
        <v>0.27301208627090667</v>
      </c>
      <c r="H4" s="1">
        <f>G4/$G$8</f>
        <v>4.5412980063661762E-2</v>
      </c>
    </row>
    <row r="5" spans="2:8" x14ac:dyDescent="0.3">
      <c r="B5" s="9" t="s">
        <v>6</v>
      </c>
      <c r="C5" s="4">
        <v>5</v>
      </c>
      <c r="D5" s="4">
        <v>1</v>
      </c>
      <c r="E5" s="4">
        <f>1/5</f>
        <v>0.2</v>
      </c>
      <c r="F5" s="4">
        <v>3</v>
      </c>
      <c r="G5" s="1">
        <f t="shared" ref="G5:G7" si="0">GEOMEAN(C5:F5)</f>
        <v>1.3160740129524926</v>
      </c>
      <c r="H5" s="1">
        <f t="shared" ref="H5:H7" si="1">G5/$G$8</f>
        <v>0.21891647263267658</v>
      </c>
    </row>
    <row r="6" spans="2:8" x14ac:dyDescent="0.3">
      <c r="B6" s="9" t="s">
        <v>7</v>
      </c>
      <c r="C6" s="4">
        <v>9</v>
      </c>
      <c r="D6" s="4">
        <v>5</v>
      </c>
      <c r="E6" s="4">
        <v>1</v>
      </c>
      <c r="F6" s="4">
        <v>4</v>
      </c>
      <c r="G6" s="1">
        <f t="shared" si="0"/>
        <v>3.6628415014847064</v>
      </c>
      <c r="H6" s="1">
        <f t="shared" si="1"/>
        <v>0.60927906289914258</v>
      </c>
    </row>
    <row r="7" spans="2:8" x14ac:dyDescent="0.3">
      <c r="B7" s="9" t="s">
        <v>8</v>
      </c>
      <c r="C7" s="4">
        <v>4</v>
      </c>
      <c r="D7" s="4">
        <f>1/3</f>
        <v>0.33333333333333331</v>
      </c>
      <c r="E7" s="4">
        <f>1/4</f>
        <v>0.25</v>
      </c>
      <c r="F7" s="4">
        <v>1</v>
      </c>
      <c r="G7" s="1">
        <f t="shared" si="0"/>
        <v>0.75983568565159254</v>
      </c>
      <c r="H7" s="1">
        <f t="shared" si="1"/>
        <v>0.12639148440451914</v>
      </c>
    </row>
    <row r="8" spans="2:8" x14ac:dyDescent="0.3">
      <c r="G8" s="1">
        <f>SUM(G4:G7)</f>
        <v>6.0117632863596979</v>
      </c>
      <c r="H8" s="1">
        <f>SUM(H4:H7)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4F71-7E76-44AD-AB66-5FF5B2B1C020}">
  <dimension ref="B3:H8"/>
  <sheetViews>
    <sheetView workbookViewId="0">
      <selection activeCell="F18" sqref="F18"/>
    </sheetView>
  </sheetViews>
  <sheetFormatPr defaultRowHeight="14.4" x14ac:dyDescent="0.3"/>
  <cols>
    <col min="1" max="1" width="3.33203125" customWidth="1"/>
    <col min="2" max="2" width="11.21875" customWidth="1"/>
    <col min="3" max="3" width="10.5546875" bestFit="1" customWidth="1"/>
    <col min="4" max="6" width="10.21875" bestFit="1" customWidth="1"/>
    <col min="8" max="8" width="12" bestFit="1" customWidth="1"/>
    <col min="9" max="9" width="4.5546875" customWidth="1"/>
    <col min="10" max="10" width="11.21875" bestFit="1" customWidth="1"/>
  </cols>
  <sheetData>
    <row r="3" spans="2:8" ht="43.2" x14ac:dyDescent="0.3">
      <c r="B3" s="16" t="s">
        <v>26</v>
      </c>
      <c r="C3" s="9" t="s">
        <v>5</v>
      </c>
      <c r="D3" s="9" t="s">
        <v>6</v>
      </c>
      <c r="E3" s="9" t="s">
        <v>7</v>
      </c>
      <c r="F3" s="9" t="s">
        <v>8</v>
      </c>
      <c r="G3" s="19" t="s">
        <v>9</v>
      </c>
      <c r="H3" s="19" t="s">
        <v>30</v>
      </c>
    </row>
    <row r="4" spans="2:8" x14ac:dyDescent="0.3">
      <c r="B4" s="9" t="s">
        <v>5</v>
      </c>
      <c r="C4" s="4">
        <v>1</v>
      </c>
      <c r="D4" s="4">
        <f>1/7</f>
        <v>0.14285714285714285</v>
      </c>
      <c r="E4" s="4">
        <f>1/5</f>
        <v>0.2</v>
      </c>
      <c r="F4" s="4">
        <f>1/5</f>
        <v>0.2</v>
      </c>
      <c r="G4" s="1">
        <f>GEOMEAN(C4:F4)</f>
        <v>0.274941620352113</v>
      </c>
      <c r="H4" s="1">
        <f>G4/$G$8</f>
        <v>4.8724003044212316E-2</v>
      </c>
    </row>
    <row r="5" spans="2:8" x14ac:dyDescent="0.3">
      <c r="B5" s="9" t="s">
        <v>6</v>
      </c>
      <c r="C5" s="4">
        <v>7</v>
      </c>
      <c r="D5" s="4">
        <v>1</v>
      </c>
      <c r="E5" s="4">
        <v>4</v>
      </c>
      <c r="F5" s="4">
        <v>4</v>
      </c>
      <c r="G5" s="1">
        <f t="shared" ref="G5:G7" si="0">GEOMEAN(C5:F5)</f>
        <v>3.2531531233955713</v>
      </c>
      <c r="H5" s="1">
        <f t="shared" ref="H5:H7" si="1">G5/$G$8</f>
        <v>0.57651017872309729</v>
      </c>
    </row>
    <row r="6" spans="2:8" x14ac:dyDescent="0.3">
      <c r="B6" s="9" t="s">
        <v>7</v>
      </c>
      <c r="C6" s="4">
        <v>5</v>
      </c>
      <c r="D6" s="4">
        <f>1/4</f>
        <v>0.25</v>
      </c>
      <c r="E6" s="4">
        <v>1</v>
      </c>
      <c r="F6" s="4">
        <v>1</v>
      </c>
      <c r="G6" s="1">
        <f t="shared" si="0"/>
        <v>1.0573712634405641</v>
      </c>
      <c r="H6" s="1">
        <f t="shared" si="1"/>
        <v>0.18738290911634517</v>
      </c>
    </row>
    <row r="7" spans="2:8" x14ac:dyDescent="0.3">
      <c r="B7" s="9" t="s">
        <v>8</v>
      </c>
      <c r="C7" s="4">
        <v>5</v>
      </c>
      <c r="D7" s="4">
        <f>1/4</f>
        <v>0.25</v>
      </c>
      <c r="E7" s="4">
        <v>1</v>
      </c>
      <c r="F7" s="4">
        <v>1</v>
      </c>
      <c r="G7" s="1">
        <f t="shared" si="0"/>
        <v>1.0573712634405641</v>
      </c>
      <c r="H7" s="1">
        <f t="shared" si="1"/>
        <v>0.18738290911634517</v>
      </c>
    </row>
    <row r="8" spans="2:8" x14ac:dyDescent="0.3">
      <c r="G8" s="1">
        <f>SUM(G4:G7)</f>
        <v>5.6428372706288128</v>
      </c>
      <c r="H8" s="1">
        <f>SUM(H4:H7)</f>
        <v>0.99999999999999989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99B-1241-49E9-8B0A-F78FE362FD02}">
  <dimension ref="B3:H8"/>
  <sheetViews>
    <sheetView workbookViewId="0">
      <selection activeCell="H19" sqref="H19"/>
    </sheetView>
  </sheetViews>
  <sheetFormatPr defaultRowHeight="14.4" x14ac:dyDescent="0.3"/>
  <cols>
    <col min="1" max="1" width="3.77734375" customWidth="1"/>
    <col min="2" max="3" width="10.5546875" bestFit="1" customWidth="1"/>
    <col min="4" max="6" width="10.21875" bestFit="1" customWidth="1"/>
    <col min="8" max="8" width="12" bestFit="1" customWidth="1"/>
    <col min="9" max="9" width="4.109375" customWidth="1"/>
    <col min="10" max="10" width="12" bestFit="1" customWidth="1"/>
  </cols>
  <sheetData>
    <row r="3" spans="2:8" ht="28.8" x14ac:dyDescent="0.3">
      <c r="B3" s="16" t="s">
        <v>3</v>
      </c>
      <c r="C3" s="9" t="s">
        <v>5</v>
      </c>
      <c r="D3" s="9" t="s">
        <v>6</v>
      </c>
      <c r="E3" s="9" t="s">
        <v>7</v>
      </c>
      <c r="F3" s="9" t="s">
        <v>8</v>
      </c>
      <c r="G3" s="19" t="s">
        <v>9</v>
      </c>
      <c r="H3" s="19" t="s">
        <v>30</v>
      </c>
    </row>
    <row r="4" spans="2:8" x14ac:dyDescent="0.3">
      <c r="B4" s="9" t="s">
        <v>5</v>
      </c>
      <c r="C4" s="4">
        <v>1</v>
      </c>
      <c r="D4" s="4">
        <f>1/5</f>
        <v>0.2</v>
      </c>
      <c r="E4" s="4">
        <v>1</v>
      </c>
      <c r="F4" s="4">
        <v>4</v>
      </c>
      <c r="G4" s="1">
        <f>GEOMEAN(C4:F4)</f>
        <v>0.94574160900317583</v>
      </c>
      <c r="H4" s="1">
        <f>G4/$G$8</f>
        <v>0.16205268901195038</v>
      </c>
    </row>
    <row r="5" spans="2:8" x14ac:dyDescent="0.3">
      <c r="B5" s="9" t="s">
        <v>6</v>
      </c>
      <c r="C5" s="4">
        <v>5</v>
      </c>
      <c r="D5" s="4">
        <v>1</v>
      </c>
      <c r="E5" s="4">
        <v>5</v>
      </c>
      <c r="F5" s="4">
        <v>7</v>
      </c>
      <c r="G5" s="1">
        <f t="shared" ref="G5:G7" si="0">GEOMEAN(C5:F5)</f>
        <v>3.6371357625641298</v>
      </c>
      <c r="H5" s="1">
        <f t="shared" ref="H5:H7" si="1">G5/$G$8</f>
        <v>0.62322269107551631</v>
      </c>
    </row>
    <row r="6" spans="2:8" x14ac:dyDescent="0.3">
      <c r="B6" s="9" t="s">
        <v>7</v>
      </c>
      <c r="C6" s="4">
        <v>1</v>
      </c>
      <c r="D6" s="4">
        <f>1/5</f>
        <v>0.2</v>
      </c>
      <c r="E6" s="4">
        <v>1</v>
      </c>
      <c r="F6" s="4">
        <v>4</v>
      </c>
      <c r="G6" s="1">
        <f t="shared" si="0"/>
        <v>0.94574160900317583</v>
      </c>
      <c r="H6" s="1">
        <f t="shared" si="1"/>
        <v>0.16205268901195038</v>
      </c>
    </row>
    <row r="7" spans="2:8" x14ac:dyDescent="0.3">
      <c r="B7" s="9" t="s">
        <v>8</v>
      </c>
      <c r="C7" s="4">
        <f>1/4</f>
        <v>0.25</v>
      </c>
      <c r="D7" s="4">
        <f>1/7</f>
        <v>0.14285714285714285</v>
      </c>
      <c r="E7" s="4">
        <f>1/4</f>
        <v>0.25</v>
      </c>
      <c r="F7" s="4">
        <v>1</v>
      </c>
      <c r="G7" s="1">
        <f t="shared" si="0"/>
        <v>0.30739407647563216</v>
      </c>
      <c r="H7" s="1">
        <f t="shared" si="1"/>
        <v>5.2671930900582843E-2</v>
      </c>
    </row>
    <row r="8" spans="2:8" x14ac:dyDescent="0.3">
      <c r="G8" s="1">
        <f>SUM(G4:G7)</f>
        <v>5.8360130570461139</v>
      </c>
      <c r="H8" s="1">
        <f>SUM(H4:H7)</f>
        <v>0.99999999999999989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8685-5878-4F9A-BEFE-A805632D62E2}">
  <dimension ref="B3:E8"/>
  <sheetViews>
    <sheetView workbookViewId="0">
      <selection activeCell="G19" sqref="G19"/>
    </sheetView>
  </sheetViews>
  <sheetFormatPr defaultRowHeight="14.4" x14ac:dyDescent="0.3"/>
  <cols>
    <col min="1" max="1" width="3.21875" customWidth="1"/>
    <col min="2" max="2" width="10.5546875" bestFit="1" customWidth="1"/>
    <col min="3" max="3" width="12.44140625" bestFit="1" customWidth="1"/>
    <col min="4" max="4" width="12.44140625" customWidth="1"/>
    <col min="5" max="5" width="10.21875" bestFit="1" customWidth="1"/>
    <col min="6" max="6" width="3.5546875" customWidth="1"/>
    <col min="7" max="7" width="10.21875" bestFit="1" customWidth="1"/>
  </cols>
  <sheetData>
    <row r="3" spans="2:5" x14ac:dyDescent="0.3">
      <c r="B3" s="16" t="s">
        <v>27</v>
      </c>
      <c r="C3" s="9" t="s">
        <v>13</v>
      </c>
      <c r="D3" s="9" t="s">
        <v>13</v>
      </c>
      <c r="E3" s="9" t="s">
        <v>12</v>
      </c>
    </row>
    <row r="4" spans="2:5" x14ac:dyDescent="0.3">
      <c r="B4" s="9" t="s">
        <v>5</v>
      </c>
      <c r="C4" s="6">
        <v>90</v>
      </c>
      <c r="D4" s="11">
        <f>1/C4</f>
        <v>1.1111111111111112E-2</v>
      </c>
      <c r="E4" s="1">
        <f>D4/$D$8</f>
        <v>0.1</v>
      </c>
    </row>
    <row r="5" spans="2:5" x14ac:dyDescent="0.3">
      <c r="B5" s="9" t="s">
        <v>6</v>
      </c>
      <c r="C5" s="6">
        <v>60</v>
      </c>
      <c r="D5" s="11">
        <f t="shared" ref="D5:D7" si="0">1/C5</f>
        <v>1.6666666666666666E-2</v>
      </c>
      <c r="E5" s="1">
        <f>D5/$D$8</f>
        <v>0.15</v>
      </c>
    </row>
    <row r="6" spans="2:5" x14ac:dyDescent="0.3">
      <c r="B6" s="9" t="s">
        <v>7</v>
      </c>
      <c r="C6" s="6">
        <v>30</v>
      </c>
      <c r="D6" s="11">
        <f t="shared" si="0"/>
        <v>3.3333333333333333E-2</v>
      </c>
      <c r="E6" s="1">
        <f>D6/$D$8</f>
        <v>0.3</v>
      </c>
    </row>
    <row r="7" spans="2:5" x14ac:dyDescent="0.3">
      <c r="B7" s="9" t="s">
        <v>8</v>
      </c>
      <c r="C7" s="6">
        <v>20</v>
      </c>
      <c r="D7" s="11">
        <f t="shared" si="0"/>
        <v>0.05</v>
      </c>
      <c r="E7" s="1">
        <f>D7/$D$8</f>
        <v>0.45000000000000007</v>
      </c>
    </row>
    <row r="8" spans="2:5" x14ac:dyDescent="0.3">
      <c r="C8" s="7">
        <f>SUM(C4:C7)</f>
        <v>200</v>
      </c>
      <c r="D8" s="12">
        <f>SUM(D4:D7)</f>
        <v>0.1111111111111111</v>
      </c>
      <c r="E8" s="8">
        <f>SUM(E4:E7)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F8D1-B3E8-427F-B9EA-0F75790B80A5}">
  <dimension ref="A2:I15"/>
  <sheetViews>
    <sheetView zoomScaleNormal="100" workbookViewId="0">
      <selection activeCell="C3" sqref="C3"/>
    </sheetView>
  </sheetViews>
  <sheetFormatPr defaultColWidth="11.21875" defaultRowHeight="14.4" x14ac:dyDescent="0.3"/>
  <cols>
    <col min="1" max="1" width="6.21875" style="15" bestFit="1" customWidth="1"/>
    <col min="2" max="2" width="21.77734375" style="15" bestFit="1" customWidth="1"/>
    <col min="3" max="6" width="11.5546875" style="15" bestFit="1" customWidth="1"/>
    <col min="7" max="7" width="8.33203125" style="15" bestFit="1" customWidth="1"/>
    <col min="8" max="8" width="3.88671875" style="15" customWidth="1"/>
    <col min="9" max="9" width="21.109375" customWidth="1"/>
    <col min="10" max="10" width="11.5546875" style="15" bestFit="1" customWidth="1"/>
    <col min="11" max="16384" width="11.21875" style="15"/>
  </cols>
  <sheetData>
    <row r="2" spans="1:9" x14ac:dyDescent="0.3">
      <c r="C2" s="30" t="s">
        <v>11</v>
      </c>
      <c r="D2" s="30"/>
      <c r="E2" s="30"/>
      <c r="F2" s="30"/>
      <c r="G2" s="30"/>
    </row>
    <row r="3" spans="1:9" ht="43.2" x14ac:dyDescent="0.3">
      <c r="C3" s="26" t="s">
        <v>0</v>
      </c>
      <c r="D3" s="26" t="s">
        <v>1</v>
      </c>
      <c r="E3" s="26" t="s">
        <v>2</v>
      </c>
      <c r="F3" s="26" t="s">
        <v>3</v>
      </c>
      <c r="G3" s="26" t="s">
        <v>4</v>
      </c>
      <c r="I3" s="15"/>
    </row>
    <row r="4" spans="1:9" x14ac:dyDescent="0.3">
      <c r="A4" s="29" t="s">
        <v>10</v>
      </c>
      <c r="B4" s="21" t="s">
        <v>5</v>
      </c>
      <c r="C4" s="22">
        <f>'C1 (public transport links)'!H4</f>
        <v>0.30191688925734267</v>
      </c>
      <c r="D4" s="22">
        <f>'C2 (Parking)'!H4</f>
        <v>4.5412980063661762E-2</v>
      </c>
      <c r="E4" s="22">
        <f>'C3 (Warehouse space)'!H4</f>
        <v>4.8724003044212316E-2</v>
      </c>
      <c r="F4" s="22">
        <f>'C4 (Security)'!H4</f>
        <v>0.16205268901195038</v>
      </c>
      <c r="G4" s="22">
        <f>'C5 (Cost)'!E4</f>
        <v>0.1</v>
      </c>
      <c r="I4" s="15"/>
    </row>
    <row r="5" spans="1:9" x14ac:dyDescent="0.3">
      <c r="A5" s="29"/>
      <c r="B5" s="21" t="s">
        <v>6</v>
      </c>
      <c r="C5" s="22">
        <f>'C1 (public transport links)'!H5</f>
        <v>4.9808557693739541E-2</v>
      </c>
      <c r="D5" s="22">
        <f>'C2 (Parking)'!H5</f>
        <v>0.21891647263267658</v>
      </c>
      <c r="E5" s="22">
        <f>'C3 (Warehouse space)'!H5</f>
        <v>0.57651017872309729</v>
      </c>
      <c r="F5" s="22">
        <f>'C4 (Security)'!H5</f>
        <v>0.62322269107551631</v>
      </c>
      <c r="G5" s="22">
        <f>'C5 (Cost)'!E5</f>
        <v>0.15</v>
      </c>
      <c r="I5" s="15"/>
    </row>
    <row r="6" spans="1:9" x14ac:dyDescent="0.3">
      <c r="A6" s="29"/>
      <c r="B6" s="21" t="s">
        <v>7</v>
      </c>
      <c r="C6" s="22">
        <f>'C1 (public transport links)'!H6</f>
        <v>0.10095199629974397</v>
      </c>
      <c r="D6" s="22">
        <f>'C2 (Parking)'!H6</f>
        <v>0.60927906289914258</v>
      </c>
      <c r="E6" s="22">
        <f>'C3 (Warehouse space)'!H6</f>
        <v>0.18738290911634517</v>
      </c>
      <c r="F6" s="22">
        <f>'C4 (Security)'!H6</f>
        <v>0.16205268901195038</v>
      </c>
      <c r="G6" s="22">
        <f>'C5 (Cost)'!E6</f>
        <v>0.3</v>
      </c>
      <c r="I6" s="15"/>
    </row>
    <row r="7" spans="1:9" x14ac:dyDescent="0.3">
      <c r="A7" s="29"/>
      <c r="B7" s="21" t="s">
        <v>8</v>
      </c>
      <c r="C7" s="22">
        <f>'C1 (public transport links)'!H7</f>
        <v>0.54732255674917374</v>
      </c>
      <c r="D7" s="22">
        <f>'C2 (Parking)'!H7</f>
        <v>0.12639148440451914</v>
      </c>
      <c r="E7" s="22">
        <f>'C3 (Warehouse space)'!H7</f>
        <v>0.18738290911634517</v>
      </c>
      <c r="F7" s="22">
        <f>'C4 (Security)'!H7</f>
        <v>5.2671930900582843E-2</v>
      </c>
      <c r="G7" s="22">
        <f>'C5 (Cost)'!E7</f>
        <v>0.45000000000000007</v>
      </c>
      <c r="I7" s="15"/>
    </row>
    <row r="8" spans="1:9" x14ac:dyDescent="0.3">
      <c r="A8" s="5"/>
      <c r="I8" s="15"/>
    </row>
    <row r="10" spans="1:9" x14ac:dyDescent="0.3">
      <c r="B10" s="2" t="s">
        <v>14</v>
      </c>
      <c r="C10" s="20" t="s">
        <v>15</v>
      </c>
      <c r="E10" s="30" t="s">
        <v>31</v>
      </c>
      <c r="F10" s="30"/>
    </row>
    <row r="11" spans="1:9" x14ac:dyDescent="0.3">
      <c r="B11" s="25" t="s">
        <v>0</v>
      </c>
      <c r="C11" s="22">
        <f>Weight!C10</f>
        <v>0.12957367894643812</v>
      </c>
      <c r="E11" s="21" t="s">
        <v>5</v>
      </c>
      <c r="F11" s="23">
        <f>(C4*C$11)+(D4*C$12)+(E4*C$13)+(F4*C$14)+(G4*C$15)</f>
        <v>0.11290826346804088</v>
      </c>
    </row>
    <row r="12" spans="1:9" x14ac:dyDescent="0.3">
      <c r="B12" s="25" t="s">
        <v>1</v>
      </c>
      <c r="C12" s="22">
        <f>Weight!C11</f>
        <v>6.3636045086231371E-2</v>
      </c>
      <c r="E12" s="21" t="s">
        <v>6</v>
      </c>
      <c r="F12" s="24">
        <f>(C5*C$11)+(D5*C$12)+(E5*C$13)+(F5*C$14)+(G5*C$15)</f>
        <v>0.48379223678743799</v>
      </c>
      <c r="I12" s="15"/>
    </row>
    <row r="13" spans="1:9" x14ac:dyDescent="0.3">
      <c r="B13" s="25" t="s">
        <v>2</v>
      </c>
      <c r="C13" s="22">
        <f>Weight!C12</f>
        <v>0.51003872501686387</v>
      </c>
      <c r="E13" s="21" t="s">
        <v>7</v>
      </c>
      <c r="F13" s="22">
        <f>(C6*C$11)+(D6*C$12)+(E6*C$13)+(F6*C$14)+(G6*C$15)</f>
        <v>0.20005567641086316</v>
      </c>
      <c r="I13" s="15"/>
    </row>
    <row r="14" spans="1:9" x14ac:dyDescent="0.3">
      <c r="B14" s="25" t="s">
        <v>3</v>
      </c>
      <c r="C14" s="22">
        <f>Weight!C13</f>
        <v>0.26383377931428448</v>
      </c>
      <c r="E14" s="21" t="s">
        <v>8</v>
      </c>
      <c r="F14" s="22">
        <f>(C7*C$11)+(D7*C$12)+(E7*C$13)+(F7*C$14)+(G7*C$15)</f>
        <v>0.20324382333365792</v>
      </c>
      <c r="I14" s="15"/>
    </row>
    <row r="15" spans="1:9" x14ac:dyDescent="0.3">
      <c r="B15" s="25" t="s">
        <v>4</v>
      </c>
      <c r="C15" s="22">
        <f>Weight!C14</f>
        <v>3.291777163618214E-2</v>
      </c>
      <c r="I15" s="15"/>
    </row>
  </sheetData>
  <mergeCells count="3">
    <mergeCell ref="A4:A7"/>
    <mergeCell ref="C2:G2"/>
    <mergeCell ref="E10:F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D1AC-0B5F-4131-B7A0-0B0F5CDE23F0}">
  <dimension ref="C3:J42"/>
  <sheetViews>
    <sheetView tabSelected="1" topLeftCell="A22" zoomScaleNormal="100" workbookViewId="0">
      <selection activeCell="P23" sqref="P23"/>
    </sheetView>
  </sheetViews>
  <sheetFormatPr defaultRowHeight="14.4" x14ac:dyDescent="0.3"/>
  <cols>
    <col min="2" max="2" width="3.5546875" customWidth="1"/>
    <col min="3" max="3" width="13" customWidth="1"/>
    <col min="4" max="4" width="21.77734375" bestFit="1" customWidth="1"/>
    <col min="5" max="5" width="12" bestFit="1" customWidth="1"/>
    <col min="6" max="6" width="19.33203125" bestFit="1" customWidth="1"/>
    <col min="7" max="7" width="12" bestFit="1" customWidth="1"/>
    <col min="8" max="8" width="18.21875" bestFit="1" customWidth="1"/>
    <col min="9" max="9" width="10.5546875" bestFit="1" customWidth="1"/>
  </cols>
  <sheetData>
    <row r="3" spans="3:8" x14ac:dyDescent="0.3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17</v>
      </c>
    </row>
    <row r="4" spans="3:8" x14ac:dyDescent="0.3">
      <c r="C4" s="27" t="s">
        <v>16</v>
      </c>
      <c r="D4" s="27">
        <f>Weight!C10</f>
        <v>0.12957367894643812</v>
      </c>
      <c r="E4" s="27">
        <f>Weight!C11</f>
        <v>6.3636045086231371E-2</v>
      </c>
      <c r="F4" s="27">
        <f>Weight!C12</f>
        <v>0.51003872501686387</v>
      </c>
      <c r="G4" s="27">
        <f>Weight!C13</f>
        <v>0.26383377931428448</v>
      </c>
      <c r="H4" s="27">
        <f>Weight!C14</f>
        <v>3.291777163618214E-2</v>
      </c>
    </row>
    <row r="5" spans="3:8" x14ac:dyDescent="0.3">
      <c r="C5" s="9" t="s">
        <v>5</v>
      </c>
      <c r="D5" s="1">
        <v>7</v>
      </c>
      <c r="E5" s="1">
        <v>3</v>
      </c>
      <c r="F5" s="1">
        <v>3</v>
      </c>
      <c r="G5" s="1">
        <v>7</v>
      </c>
      <c r="H5" s="1">
        <v>90</v>
      </c>
    </row>
    <row r="6" spans="3:8" x14ac:dyDescent="0.3">
      <c r="C6" s="9" t="s">
        <v>6</v>
      </c>
      <c r="D6" s="1">
        <v>3</v>
      </c>
      <c r="E6" s="1">
        <v>7</v>
      </c>
      <c r="F6" s="1">
        <v>9</v>
      </c>
      <c r="G6" s="1">
        <v>9</v>
      </c>
      <c r="H6" s="1">
        <v>60</v>
      </c>
    </row>
    <row r="7" spans="3:8" x14ac:dyDescent="0.3">
      <c r="C7" s="9" t="s">
        <v>7</v>
      </c>
      <c r="D7" s="1">
        <v>6</v>
      </c>
      <c r="E7" s="1">
        <v>9</v>
      </c>
      <c r="F7" s="1">
        <v>7</v>
      </c>
      <c r="G7" s="1">
        <v>7</v>
      </c>
      <c r="H7" s="1">
        <v>30</v>
      </c>
    </row>
    <row r="8" spans="3:8" x14ac:dyDescent="0.3">
      <c r="C8" s="9" t="s">
        <v>8</v>
      </c>
      <c r="D8" s="1">
        <v>9</v>
      </c>
      <c r="E8" s="1">
        <v>5</v>
      </c>
      <c r="F8" s="1">
        <v>7</v>
      </c>
      <c r="G8" s="1">
        <v>3</v>
      </c>
      <c r="H8" s="1">
        <v>20</v>
      </c>
    </row>
    <row r="9" spans="3:8" ht="27.6" x14ac:dyDescent="0.3">
      <c r="C9" s="28" t="s">
        <v>18</v>
      </c>
      <c r="D9" s="1">
        <f>SUMSQ(D5:D8)</f>
        <v>175</v>
      </c>
      <c r="E9" s="1">
        <f t="shared" ref="E9:H9" si="0">SUMSQ(E5:E8)</f>
        <v>164</v>
      </c>
      <c r="F9" s="1">
        <f t="shared" si="0"/>
        <v>188</v>
      </c>
      <c r="G9" s="1">
        <f t="shared" si="0"/>
        <v>188</v>
      </c>
      <c r="H9" s="1">
        <f t="shared" si="0"/>
        <v>13000</v>
      </c>
    </row>
    <row r="10" spans="3:8" ht="27.6" x14ac:dyDescent="0.3">
      <c r="C10" s="28" t="s">
        <v>19</v>
      </c>
      <c r="D10" s="1">
        <f>SQRT(D9)</f>
        <v>13.228756555322953</v>
      </c>
      <c r="E10" s="1">
        <f t="shared" ref="E10:H10" si="1">SQRT(E9)</f>
        <v>12.806248474865697</v>
      </c>
      <c r="F10" s="1">
        <f t="shared" si="1"/>
        <v>13.711309200802088</v>
      </c>
      <c r="G10" s="1">
        <f t="shared" si="1"/>
        <v>13.711309200802088</v>
      </c>
      <c r="H10" s="1">
        <f t="shared" si="1"/>
        <v>114.0175425099138</v>
      </c>
    </row>
    <row r="13" spans="3:8" x14ac:dyDescent="0.3">
      <c r="D13" s="2" t="s">
        <v>0</v>
      </c>
      <c r="E13" s="2" t="s">
        <v>1</v>
      </c>
      <c r="F13" s="2" t="s">
        <v>2</v>
      </c>
      <c r="G13" s="2" t="s">
        <v>3</v>
      </c>
      <c r="H13" s="2" t="s">
        <v>17</v>
      </c>
    </row>
    <row r="14" spans="3:8" x14ac:dyDescent="0.3">
      <c r="C14" s="9" t="s">
        <v>5</v>
      </c>
      <c r="D14" s="1">
        <f>D5/D$10</f>
        <v>0.52915026221291817</v>
      </c>
      <c r="E14" s="1">
        <f t="shared" ref="E14:H14" si="2">E5/E$10</f>
        <v>0.23426064283290909</v>
      </c>
      <c r="F14" s="1">
        <f t="shared" si="2"/>
        <v>0.21879748724684184</v>
      </c>
      <c r="G14" s="1">
        <f t="shared" si="2"/>
        <v>0.51052747024263101</v>
      </c>
      <c r="H14" s="1">
        <f t="shared" si="2"/>
        <v>0.78935221737632633</v>
      </c>
    </row>
    <row r="15" spans="3:8" x14ac:dyDescent="0.3">
      <c r="C15" s="9" t="s">
        <v>6</v>
      </c>
      <c r="D15" s="1">
        <f t="shared" ref="D15:H15" si="3">D6/D$10</f>
        <v>0.22677868380553634</v>
      </c>
      <c r="E15" s="1">
        <f t="shared" si="3"/>
        <v>0.54660816661012124</v>
      </c>
      <c r="F15" s="1">
        <f t="shared" si="3"/>
        <v>0.65639246174052557</v>
      </c>
      <c r="G15" s="1">
        <f t="shared" si="3"/>
        <v>0.65639246174052557</v>
      </c>
      <c r="H15" s="1">
        <f t="shared" si="3"/>
        <v>0.52623481158421759</v>
      </c>
    </row>
    <row r="16" spans="3:8" x14ac:dyDescent="0.3">
      <c r="C16" s="9" t="s">
        <v>7</v>
      </c>
      <c r="D16" s="1">
        <f t="shared" ref="D16:H16" si="4">D7/D$10</f>
        <v>0.45355736761107268</v>
      </c>
      <c r="E16" s="1">
        <f t="shared" si="4"/>
        <v>0.70278192849872734</v>
      </c>
      <c r="F16" s="1">
        <f t="shared" si="4"/>
        <v>0.51052747024263101</v>
      </c>
      <c r="G16" s="1">
        <f t="shared" si="4"/>
        <v>0.51052747024263101</v>
      </c>
      <c r="H16" s="1">
        <f t="shared" si="4"/>
        <v>0.26311740579210879</v>
      </c>
    </row>
    <row r="17" spans="3:10" x14ac:dyDescent="0.3">
      <c r="C17" s="9" t="s">
        <v>8</v>
      </c>
      <c r="D17" s="1">
        <f t="shared" ref="D17:H17" si="5">D8/D$10</f>
        <v>0.68033605141660902</v>
      </c>
      <c r="E17" s="1">
        <f t="shared" si="5"/>
        <v>0.39043440472151519</v>
      </c>
      <c r="F17" s="1">
        <f t="shared" si="5"/>
        <v>0.51052747024263101</v>
      </c>
      <c r="G17" s="1">
        <f t="shared" si="5"/>
        <v>0.21879748724684184</v>
      </c>
      <c r="H17" s="1">
        <f t="shared" si="5"/>
        <v>0.17541160386140583</v>
      </c>
    </row>
    <row r="20" spans="3:10" x14ac:dyDescent="0.3">
      <c r="D20" s="2" t="s">
        <v>0</v>
      </c>
      <c r="E20" s="2" t="s">
        <v>1</v>
      </c>
      <c r="F20" s="2" t="s">
        <v>2</v>
      </c>
      <c r="G20" s="2" t="s">
        <v>3</v>
      </c>
      <c r="H20" s="2" t="s">
        <v>17</v>
      </c>
    </row>
    <row r="21" spans="3:10" x14ac:dyDescent="0.3">
      <c r="C21" s="9" t="s">
        <v>5</v>
      </c>
      <c r="D21" s="10">
        <f>D$4*D14</f>
        <v>6.856394619040021E-2</v>
      </c>
      <c r="E21" s="10">
        <f t="shared" ref="E21:H21" si="6">E$4*E14</f>
        <v>1.4907420829244547E-2</v>
      </c>
      <c r="F21" s="10">
        <f t="shared" si="6"/>
        <v>0.11159519143227274</v>
      </c>
      <c r="G21" s="10">
        <f t="shared" si="6"/>
        <v>0.13469439191787425</v>
      </c>
      <c r="H21" s="10">
        <f t="shared" si="6"/>
        <v>2.5983716032107914E-2</v>
      </c>
    </row>
    <row r="22" spans="3:10" x14ac:dyDescent="0.3">
      <c r="C22" s="9" t="s">
        <v>6</v>
      </c>
      <c r="D22" s="10">
        <f t="shared" ref="D22:H22" si="7">D$4*D15</f>
        <v>2.9384548367314373E-2</v>
      </c>
      <c r="E22" s="10">
        <f t="shared" si="7"/>
        <v>3.4783981934903944E-2</v>
      </c>
      <c r="F22" s="10">
        <f t="shared" si="7"/>
        <v>0.33478557429681827</v>
      </c>
      <c r="G22" s="10">
        <f t="shared" si="7"/>
        <v>0.17317850389440975</v>
      </c>
      <c r="H22" s="10">
        <f t="shared" si="7"/>
        <v>1.7322477354738609E-2</v>
      </c>
    </row>
    <row r="23" spans="3:10" x14ac:dyDescent="0.3">
      <c r="C23" s="9" t="s">
        <v>7</v>
      </c>
      <c r="D23" s="10">
        <f t="shared" ref="D23:H23" si="8">D$4*D16</f>
        <v>5.8769096734628747E-2</v>
      </c>
      <c r="E23" s="10">
        <f t="shared" si="8"/>
        <v>4.4722262487733644E-2</v>
      </c>
      <c r="F23" s="10">
        <f t="shared" si="8"/>
        <v>0.26038878000863641</v>
      </c>
      <c r="G23" s="10">
        <f t="shared" si="8"/>
        <v>0.13469439191787425</v>
      </c>
      <c r="H23" s="10">
        <f t="shared" si="8"/>
        <v>8.6612386773693047E-3</v>
      </c>
    </row>
    <row r="24" spans="3:10" x14ac:dyDescent="0.3">
      <c r="C24" s="9" t="s">
        <v>8</v>
      </c>
      <c r="D24" s="10">
        <f t="shared" ref="D24:H24" si="9">D$4*D17</f>
        <v>8.8153645101943109E-2</v>
      </c>
      <c r="E24" s="10">
        <f t="shared" si="9"/>
        <v>2.4845701382074249E-2</v>
      </c>
      <c r="F24" s="10">
        <f t="shared" si="9"/>
        <v>0.26038878000863641</v>
      </c>
      <c r="G24" s="10">
        <f t="shared" si="9"/>
        <v>5.7726167964803239E-2</v>
      </c>
      <c r="H24" s="10">
        <f t="shared" si="9"/>
        <v>5.7741591182462028E-3</v>
      </c>
    </row>
    <row r="25" spans="3:10" x14ac:dyDescent="0.3">
      <c r="G25" s="10"/>
    </row>
    <row r="26" spans="3:10" x14ac:dyDescent="0.3">
      <c r="C26" s="16" t="s">
        <v>20</v>
      </c>
      <c r="D26" s="2" t="s">
        <v>0</v>
      </c>
      <c r="E26" s="2" t="s">
        <v>1</v>
      </c>
      <c r="F26" s="2" t="s">
        <v>2</v>
      </c>
      <c r="G26" s="2" t="s">
        <v>3</v>
      </c>
      <c r="H26" s="2" t="s">
        <v>17</v>
      </c>
      <c r="I26" s="31" t="s">
        <v>28</v>
      </c>
      <c r="J26" s="31"/>
    </row>
    <row r="27" spans="3:10" x14ac:dyDescent="0.3">
      <c r="C27" s="9" t="s">
        <v>5</v>
      </c>
      <c r="D27" s="1">
        <f>(D21-MAX($D$21:$D$24))^2</f>
        <v>3.8375630344490507E-4</v>
      </c>
      <c r="E27" s="1">
        <f>(E21-MAX($E$21:$E$24))^2</f>
        <v>8.8892478312077691E-4</v>
      </c>
      <c r="F27" s="1">
        <f>(F21-MAX($F$21:$F$24))^2</f>
        <v>4.9813947003222413E-2</v>
      </c>
      <c r="G27" s="1">
        <f>(G21-MAX($G$21:$G$24))^2</f>
        <v>1.4810268746225236E-3</v>
      </c>
      <c r="H27" s="1">
        <f>(H21-MIN($H$21:$H$24))^2</f>
        <v>4.0842619065461572E-4</v>
      </c>
      <c r="I27" s="9" t="s">
        <v>5</v>
      </c>
      <c r="J27">
        <f>SQRT(SUM(D27:H27))</f>
        <v>0.2301653343904447</v>
      </c>
    </row>
    <row r="28" spans="3:10" x14ac:dyDescent="0.3">
      <c r="C28" s="9" t="s">
        <v>6</v>
      </c>
      <c r="D28" s="1">
        <f t="shared" ref="D28:D30" si="10">(D22-MAX($D$21:$D$24))^2</f>
        <v>3.4538067310041502E-3</v>
      </c>
      <c r="E28" s="1">
        <f t="shared" ref="E28:E30" si="11">(E22-MAX($E$21:$E$24))^2</f>
        <v>9.8769420346752999E-5</v>
      </c>
      <c r="F28" s="1">
        <f t="shared" ref="F28:F30" si="12">(F22-MAX($F$21:$F$24))^2</f>
        <v>0</v>
      </c>
      <c r="G28" s="1">
        <f t="shared" ref="G28:G30" si="13">(G22-MAX($G$21:$G$24))^2</f>
        <v>0</v>
      </c>
      <c r="H28" s="1">
        <f t="shared" ref="H28:H30" si="14">(H22-MIN($H$21:$H$24))^2</f>
        <v>1.333636540913031E-4</v>
      </c>
      <c r="I28" s="9" t="s">
        <v>6</v>
      </c>
      <c r="J28">
        <f>SQRT(SUM(D28:H28))</f>
        <v>6.0711941209635245E-2</v>
      </c>
    </row>
    <row r="29" spans="3:10" x14ac:dyDescent="0.3">
      <c r="C29" s="9" t="s">
        <v>7</v>
      </c>
      <c r="D29" s="1">
        <f t="shared" si="10"/>
        <v>8.6345168275103724E-4</v>
      </c>
      <c r="E29" s="1">
        <f t="shared" si="11"/>
        <v>0</v>
      </c>
      <c r="F29" s="1">
        <f t="shared" si="12"/>
        <v>5.5348830003580487E-3</v>
      </c>
      <c r="G29" s="1">
        <f t="shared" si="13"/>
        <v>1.4810268746225236E-3</v>
      </c>
      <c r="H29" s="1">
        <f t="shared" si="14"/>
        <v>8.3352283807064436E-6</v>
      </c>
      <c r="I29" s="9" t="s">
        <v>7</v>
      </c>
      <c r="J29">
        <f>SQRT(SUM(D29:H29))</f>
        <v>8.8812706219956586E-2</v>
      </c>
    </row>
    <row r="30" spans="3:10" x14ac:dyDescent="0.3">
      <c r="C30" s="9" t="s">
        <v>8</v>
      </c>
      <c r="D30" s="1">
        <f t="shared" si="10"/>
        <v>0</v>
      </c>
      <c r="E30" s="1">
        <f t="shared" si="11"/>
        <v>3.9507768138701184E-4</v>
      </c>
      <c r="F30" s="1">
        <f t="shared" si="12"/>
        <v>5.5348830003580487E-3</v>
      </c>
      <c r="G30" s="1">
        <f t="shared" si="13"/>
        <v>1.3329241871602712E-2</v>
      </c>
      <c r="H30" s="1">
        <f t="shared" si="14"/>
        <v>0</v>
      </c>
      <c r="I30" s="9" t="s">
        <v>8</v>
      </c>
      <c r="J30">
        <f>SQRT(SUM(D30:H30))</f>
        <v>0.13877752899280119</v>
      </c>
    </row>
    <row r="32" spans="3:10" x14ac:dyDescent="0.3">
      <c r="C32" s="16" t="s">
        <v>21</v>
      </c>
      <c r="D32" s="2" t="s">
        <v>0</v>
      </c>
      <c r="E32" s="2" t="s">
        <v>1</v>
      </c>
      <c r="F32" s="2" t="s">
        <v>2</v>
      </c>
      <c r="G32" s="2" t="s">
        <v>3</v>
      </c>
      <c r="H32" s="2" t="s">
        <v>17</v>
      </c>
      <c r="I32" s="31" t="s">
        <v>29</v>
      </c>
      <c r="J32" s="31"/>
    </row>
    <row r="33" spans="3:10" x14ac:dyDescent="0.3">
      <c r="C33" s="9" t="s">
        <v>5</v>
      </c>
      <c r="D33">
        <f>(D21-MIN($D$21:$D$24))^2</f>
        <v>1.5350252137796235E-3</v>
      </c>
      <c r="E33">
        <f>(E21-MIN($E$21:$E$24))^2</f>
        <v>0</v>
      </c>
      <c r="F33">
        <f>(F21-MIN($F$21:$F$24))^2</f>
        <v>0</v>
      </c>
      <c r="G33">
        <f>(G21-MIN($G$21:$G$24))^2</f>
        <v>5.9241074984900943E-3</v>
      </c>
      <c r="H33">
        <f>(H21-MAX($H$21:$H$24))^2</f>
        <v>0</v>
      </c>
      <c r="I33" s="9" t="s">
        <v>5</v>
      </c>
      <c r="J33">
        <f>SQRT(SUM(D33:H33))</f>
        <v>8.6366270686360644E-2</v>
      </c>
    </row>
    <row r="34" spans="3:10" x14ac:dyDescent="0.3">
      <c r="C34" s="9" t="s">
        <v>6</v>
      </c>
      <c r="D34">
        <f t="shared" ref="D34:D36" si="15">(D22-MIN($D$21:$D$24))^2</f>
        <v>0</v>
      </c>
      <c r="E34">
        <f t="shared" ref="E34:E36" si="16">(E22-MIN($E$21:$E$24))^2</f>
        <v>3.95077681387012E-4</v>
      </c>
      <c r="F34">
        <f t="shared" ref="F34:F36" si="17">(F22-MIN($F$21:$F$24))^2</f>
        <v>4.9813947003222413E-2</v>
      </c>
      <c r="G34">
        <f t="shared" ref="G34:G36" si="18">(G22-MIN($G$21:$G$24))^2</f>
        <v>1.3329241871602712E-2</v>
      </c>
      <c r="H34">
        <f t="shared" ref="H34:H36" si="19">(H22-MAX($H$21:$H$24))^2</f>
        <v>7.5017055426357978E-5</v>
      </c>
      <c r="I34" s="9" t="s">
        <v>6</v>
      </c>
      <c r="J34">
        <f>SQRT(SUM(D34:H34))</f>
        <v>0.25221673935652744</v>
      </c>
    </row>
    <row r="35" spans="3:10" x14ac:dyDescent="0.3">
      <c r="C35" s="9" t="s">
        <v>7</v>
      </c>
      <c r="D35">
        <f t="shared" si="15"/>
        <v>8.6345168275103778E-4</v>
      </c>
      <c r="E35">
        <f t="shared" si="16"/>
        <v>8.8892478312077691E-4</v>
      </c>
      <c r="F35">
        <f t="shared" si="17"/>
        <v>2.2139532001432177E-2</v>
      </c>
      <c r="G35">
        <f t="shared" si="18"/>
        <v>5.9241074984900943E-3</v>
      </c>
      <c r="H35">
        <f t="shared" si="19"/>
        <v>3.0006822170543191E-4</v>
      </c>
      <c r="I35" s="9" t="s">
        <v>7</v>
      </c>
      <c r="J35">
        <f>SQRT(SUM(D35:H35))</f>
        <v>0.17353986339599187</v>
      </c>
    </row>
    <row r="36" spans="3:10" x14ac:dyDescent="0.3">
      <c r="C36" s="9" t="s">
        <v>8</v>
      </c>
      <c r="D36">
        <f t="shared" si="15"/>
        <v>3.4538067310041502E-3</v>
      </c>
      <c r="E36">
        <f t="shared" si="16"/>
        <v>9.8769420346753027E-5</v>
      </c>
      <c r="F36">
        <f t="shared" si="17"/>
        <v>2.2139532001432177E-2</v>
      </c>
      <c r="G36">
        <f t="shared" si="18"/>
        <v>0</v>
      </c>
      <c r="H36">
        <f t="shared" si="19"/>
        <v>4.0842619065461572E-4</v>
      </c>
      <c r="I36" s="9" t="s">
        <v>8</v>
      </c>
      <c r="J36">
        <f>SQRT(SUM(D36:H36))</f>
        <v>0.16155659795699367</v>
      </c>
    </row>
    <row r="39" spans="3:10" x14ac:dyDescent="0.3">
      <c r="C39" s="9" t="s">
        <v>5</v>
      </c>
      <c r="D39">
        <f>J33/(J27+J33)</f>
        <v>0.27285196581050464</v>
      </c>
      <c r="E39" t="s">
        <v>22</v>
      </c>
    </row>
    <row r="40" spans="3:10" x14ac:dyDescent="0.3">
      <c r="C40" s="9" t="s">
        <v>6</v>
      </c>
      <c r="D40">
        <f t="shared" ref="D40:D42" si="20">J34/(J28+J34)</f>
        <v>0.80598792958257182</v>
      </c>
      <c r="E40" t="s">
        <v>23</v>
      </c>
    </row>
    <row r="41" spans="3:10" x14ac:dyDescent="0.3">
      <c r="C41" s="9" t="s">
        <v>7</v>
      </c>
      <c r="D41">
        <f t="shared" si="20"/>
        <v>0.66147575245797163</v>
      </c>
    </row>
    <row r="42" spans="3:10" x14ac:dyDescent="0.3">
      <c r="C42" s="9" t="s">
        <v>8</v>
      </c>
      <c r="D42">
        <f t="shared" si="20"/>
        <v>0.53792287808837702</v>
      </c>
    </row>
  </sheetData>
  <mergeCells count="2">
    <mergeCell ref="I26:J26"/>
    <mergeCell ref="I32:J32"/>
  </mergeCells>
  <conditionalFormatting sqref="E21:E24">
    <cfRule type="top10" dxfId="9" priority="9" rank="1"/>
    <cfRule type="top10" dxfId="8" priority="14" bottom="1" rank="1"/>
  </conditionalFormatting>
  <conditionalFormatting sqref="F21:F24">
    <cfRule type="top10" dxfId="7" priority="7" rank="1"/>
    <cfRule type="top10" dxfId="6" priority="8" bottom="1" rank="1"/>
  </conditionalFormatting>
  <conditionalFormatting sqref="G21:G25">
    <cfRule type="top10" dxfId="5" priority="5" rank="1"/>
    <cfRule type="top10" dxfId="4" priority="6" bottom="1" rank="1"/>
  </conditionalFormatting>
  <conditionalFormatting sqref="H21:H24">
    <cfRule type="top10" dxfId="3" priority="3" rank="1"/>
    <cfRule type="top10" dxfId="2" priority="4" bottom="1" rank="1"/>
  </conditionalFormatting>
  <conditionalFormatting sqref="D21:D24">
    <cfRule type="top10" dxfId="1" priority="1" rank="1"/>
    <cfRule type="top10" dxfId="0" priority="2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Weight</vt:lpstr>
      <vt:lpstr>C1 (public transport links)</vt:lpstr>
      <vt:lpstr>C2 (Parking)</vt:lpstr>
      <vt:lpstr>C3 (Warehouse space)</vt:lpstr>
      <vt:lpstr>C4 (Security)</vt:lpstr>
      <vt:lpstr>C5 (Cost)</vt:lpstr>
      <vt:lpstr>AHP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2023-01-09T11:38:07Z</dcterms:modified>
</cp:coreProperties>
</file>